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05" windowWidth="12120" windowHeight="8820" firstSheet="3" activeTab="3"/>
  </bookViews>
  <sheets>
    <sheet name="7.14" sheetId="3" state="hidden" r:id="rId1"/>
    <sheet name="8.14" sheetId="5" state="hidden" r:id="rId2"/>
    <sheet name="Graph" sheetId="4" state="hidden" r:id="rId3"/>
    <sheet name="Sheet 1" sheetId="7" r:id="rId4"/>
    <sheet name="Box Score" sheetId="8" r:id="rId5"/>
  </sheets>
  <definedNames>
    <definedName name="_xlnm.Print_Area" localSheetId="0">'7.14'!$A$1:$I$72</definedName>
    <definedName name="_xlnm.Print_Area" localSheetId="1">'8.14'!$A$1:$I$71</definedName>
    <definedName name="_xlnm.Print_Area" localSheetId="2">Graph!$A$1:$J$47</definedName>
    <definedName name="_xlnm.Print_Area" localSheetId="3">'Sheet 1'!$A$1:$I$63</definedName>
  </definedNames>
  <calcPr calcId="145621"/>
</workbook>
</file>

<file path=xl/calcChain.xml><?xml version="1.0" encoding="utf-8"?>
<calcChain xmlns="http://schemas.openxmlformats.org/spreadsheetml/2006/main">
  <c r="I15" i="7" l="1"/>
  <c r="F50" i="7" l="1"/>
  <c r="C7" i="8" l="1"/>
  <c r="C5" i="8"/>
  <c r="C4" i="8"/>
  <c r="B7" i="8"/>
  <c r="B5" i="8"/>
  <c r="B4" i="8"/>
  <c r="C15" i="7" l="1"/>
  <c r="D7" i="8" l="1"/>
  <c r="C6" i="8"/>
  <c r="C8" i="8" s="1"/>
  <c r="B6" i="8"/>
  <c r="B8" i="8" s="1"/>
  <c r="D5" i="8"/>
  <c r="D4" i="8"/>
  <c r="D6" i="8" l="1"/>
  <c r="D8" i="8" s="1"/>
  <c r="G13" i="7"/>
  <c r="G14" i="7"/>
  <c r="G16" i="7"/>
  <c r="E15" i="7" l="1"/>
  <c r="E18" i="7" s="1"/>
  <c r="G57" i="7" s="1"/>
  <c r="C18" i="7"/>
  <c r="I18" i="7"/>
  <c r="H15" i="7"/>
  <c r="H18" i="7" s="1"/>
  <c r="F15" i="7"/>
  <c r="F18" i="7" s="1"/>
  <c r="D15" i="7"/>
  <c r="D18" i="7" s="1"/>
  <c r="G63" i="7"/>
  <c r="F22" i="4"/>
  <c r="D22" i="4"/>
  <c r="F23" i="4"/>
  <c r="D23" i="4"/>
  <c r="D6" i="4"/>
  <c r="E23" i="4"/>
  <c r="E24" i="4"/>
  <c r="E25" i="4"/>
  <c r="E26" i="4"/>
  <c r="E27" i="4"/>
  <c r="E28" i="4"/>
  <c r="E29" i="4"/>
  <c r="E30" i="4"/>
  <c r="E31" i="4"/>
  <c r="E32" i="4"/>
  <c r="E22" i="4"/>
  <c r="D21" i="4"/>
  <c r="D5" i="4"/>
  <c r="E15" i="4"/>
  <c r="E14" i="4"/>
  <c r="E13" i="4"/>
  <c r="E12" i="4"/>
  <c r="E11" i="4"/>
  <c r="E10" i="4"/>
  <c r="E9" i="4"/>
  <c r="E8" i="4"/>
  <c r="E7" i="4"/>
  <c r="E6" i="4"/>
  <c r="E5" i="4"/>
  <c r="E4" i="4"/>
  <c r="F21" i="4"/>
  <c r="E21" i="4"/>
  <c r="D4" i="4"/>
  <c r="H31" i="5"/>
  <c r="G20" i="5"/>
  <c r="G16" i="5"/>
  <c r="E20" i="5"/>
  <c r="F10" i="5"/>
  <c r="E65" i="5"/>
  <c r="G60" i="5"/>
  <c r="N55" i="5"/>
  <c r="G52" i="5"/>
  <c r="G32" i="5"/>
  <c r="I31" i="5"/>
  <c r="I34" i="5"/>
  <c r="H34" i="5"/>
  <c r="F31" i="5"/>
  <c r="F34" i="5"/>
  <c r="E31" i="5"/>
  <c r="E34" i="5"/>
  <c r="G41" i="5"/>
  <c r="D31" i="5"/>
  <c r="D34" i="5"/>
  <c r="G30" i="5"/>
  <c r="G29" i="5"/>
  <c r="E16" i="5"/>
  <c r="H13" i="5"/>
  <c r="E13" i="5"/>
  <c r="C12" i="5"/>
  <c r="E12" i="5"/>
  <c r="H11" i="5"/>
  <c r="E11" i="5"/>
  <c r="H10" i="5"/>
  <c r="E10" i="5"/>
  <c r="G53" i="3"/>
  <c r="I32" i="3"/>
  <c r="I35" i="3"/>
  <c r="F32" i="3"/>
  <c r="E32" i="3"/>
  <c r="E35" i="3"/>
  <c r="G42" i="3"/>
  <c r="N56" i="3"/>
  <c r="G30" i="3"/>
  <c r="E22" i="3"/>
  <c r="E19" i="3"/>
  <c r="G22" i="3"/>
  <c r="F14" i="3"/>
  <c r="H14" i="3"/>
  <c r="E13" i="3"/>
  <c r="H13" i="3"/>
  <c r="C12" i="3"/>
  <c r="C14" i="3"/>
  <c r="E14" i="3"/>
  <c r="H32" i="3"/>
  <c r="H35" i="3"/>
  <c r="H12" i="3"/>
  <c r="E18" i="3"/>
  <c r="E66" i="3"/>
  <c r="D32" i="3"/>
  <c r="D35" i="3"/>
  <c r="C31" i="3"/>
  <c r="G61" i="3"/>
  <c r="G18" i="3"/>
  <c r="H15" i="3"/>
  <c r="E15" i="3"/>
  <c r="F35" i="3"/>
  <c r="G33" i="3"/>
  <c r="G31" i="3"/>
  <c r="H11" i="3"/>
  <c r="E11" i="3"/>
  <c r="H10" i="3"/>
  <c r="E10" i="3"/>
  <c r="E23" i="3"/>
  <c r="C32" i="3"/>
  <c r="C35" i="3"/>
  <c r="G23" i="3"/>
  <c r="G32" i="3"/>
  <c r="G35" i="3"/>
  <c r="E12" i="3"/>
  <c r="C30" i="3"/>
  <c r="F12" i="5"/>
  <c r="H12" i="5"/>
  <c r="E22" i="5"/>
  <c r="C31" i="5"/>
  <c r="C34" i="5"/>
  <c r="G31" i="5"/>
  <c r="G34" i="5"/>
  <c r="G15" i="7" l="1"/>
  <c r="G18" i="7" s="1"/>
</calcChain>
</file>

<file path=xl/sharedStrings.xml><?xml version="1.0" encoding="utf-8"?>
<sst xmlns="http://schemas.openxmlformats.org/spreadsheetml/2006/main" count="253" uniqueCount="111">
  <si>
    <t>Roseville Lutheran Church</t>
  </si>
  <si>
    <t>Actual</t>
  </si>
  <si>
    <t>Variance</t>
  </si>
  <si>
    <t>Church Operations</t>
  </si>
  <si>
    <t>Net</t>
  </si>
  <si>
    <t>Fund Balances</t>
  </si>
  <si>
    <t>Building Fund</t>
  </si>
  <si>
    <t>Designated/Restricted Funds</t>
  </si>
  <si>
    <t>Total</t>
  </si>
  <si>
    <t>All Other</t>
  </si>
  <si>
    <t>Dollars</t>
  </si>
  <si>
    <t>Givers</t>
  </si>
  <si>
    <t># of</t>
  </si>
  <si>
    <t>YTD</t>
  </si>
  <si>
    <t xml:space="preserve">Average </t>
  </si>
  <si>
    <t>Gift</t>
  </si>
  <si>
    <t xml:space="preserve">Total </t>
  </si>
  <si>
    <t>Operations YTD</t>
  </si>
  <si>
    <t>Child Care YTD</t>
  </si>
  <si>
    <t>Memorials</t>
  </si>
  <si>
    <t>All Other Restricted Funds</t>
  </si>
  <si>
    <t xml:space="preserve">Expenses  </t>
  </si>
  <si>
    <t>Kitchen Fund</t>
  </si>
  <si>
    <t>Vanguard Money Market</t>
  </si>
  <si>
    <t>Ministry</t>
  </si>
  <si>
    <t>Plan</t>
  </si>
  <si>
    <t>Loose Offering</t>
  </si>
  <si>
    <t>Misc. Income</t>
  </si>
  <si>
    <t>Total Giving</t>
  </si>
  <si>
    <t>Church Ops Receipt Summary</t>
  </si>
  <si>
    <t>General Offering</t>
  </si>
  <si>
    <t>Franklin US Gov Securities</t>
  </si>
  <si>
    <t>Checking / Savings / Inv Acct</t>
  </si>
  <si>
    <t>Giving</t>
  </si>
  <si>
    <t>Other receipts</t>
  </si>
  <si>
    <t>Total Receipts</t>
  </si>
  <si>
    <t>Cash and Short Term Investments</t>
  </si>
  <si>
    <t>Special Gifts to Budget</t>
  </si>
  <si>
    <t xml:space="preserve">Endowment </t>
  </si>
  <si>
    <t>Cash</t>
  </si>
  <si>
    <t>Investments</t>
  </si>
  <si>
    <t>Total Endowment Fund Balance</t>
  </si>
  <si>
    <t>Assets Released from Restriction</t>
  </si>
  <si>
    <t>Preschool YTD</t>
  </si>
  <si>
    <t>Retained 2012/13 Deficit</t>
  </si>
  <si>
    <t>TOTAL OPERATING CURRENT ASSETS</t>
  </si>
  <si>
    <t>From Balance Sheet</t>
  </si>
  <si>
    <t>July 2014 Month End Financial Summary</t>
  </si>
  <si>
    <t>4 Sundays</t>
  </si>
  <si>
    <t>2014 General</t>
  </si>
  <si>
    <t>Run/Shortfall</t>
  </si>
  <si>
    <t>July</t>
  </si>
  <si>
    <t>2013-14</t>
  </si>
  <si>
    <t>Total Operating Assets</t>
  </si>
  <si>
    <t>August 2014 Month End Financial Summary</t>
  </si>
  <si>
    <t>5 Sundays</t>
  </si>
  <si>
    <t>Hospitality Income</t>
  </si>
  <si>
    <t>Aug</t>
  </si>
  <si>
    <t>Receipts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</si>
  <si>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</si>
  <si>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</si>
  <si>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</si>
  <si>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</si>
  <si>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</si>
  <si>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</si>
  <si>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</si>
  <si>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</si>
  <si>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</si>
  <si>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</si>
  <si>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</si>
  <si>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expenses</t>
  </si>
  <si>
    <t>Actual YTD</t>
  </si>
  <si>
    <t>Budget YTD</t>
  </si>
  <si>
    <t>2013-14 Actual</t>
  </si>
  <si>
    <t>Endowment Fund</t>
  </si>
  <si>
    <t>Other Funds</t>
  </si>
  <si>
    <t>Total Designated/Restricted</t>
  </si>
  <si>
    <t>Available Cash &amp; Short-Term Investments</t>
  </si>
  <si>
    <t>Prior Year</t>
  </si>
  <si>
    <t>Budget</t>
  </si>
  <si>
    <t>Current Yr</t>
  </si>
  <si>
    <t># Givers</t>
  </si>
  <si>
    <t>Bldg Designated</t>
  </si>
  <si>
    <t>General Fund</t>
  </si>
  <si>
    <t>Avg Gift</t>
  </si>
  <si>
    <t>Designated/Restricted Funds:</t>
  </si>
  <si>
    <t>Preschool:</t>
  </si>
  <si>
    <t>Child Care:</t>
  </si>
  <si>
    <t>Operating Fund:</t>
  </si>
  <si>
    <t>Current Yr*</t>
  </si>
  <si>
    <t>Other Designated</t>
  </si>
  <si>
    <t>Offering</t>
  </si>
  <si>
    <t>2015-2016</t>
  </si>
  <si>
    <t>Church Operations 2016-2017</t>
  </si>
  <si>
    <t>Number of Givers 2016-2017</t>
  </si>
  <si>
    <t>Estate Gift</t>
  </si>
  <si>
    <t>Building Fees</t>
  </si>
  <si>
    <t>Mission &amp; Outreach</t>
  </si>
  <si>
    <t xml:space="preserve">     *Cumulative Operating Fund Surplus as of 6/30/16 = $4,767</t>
  </si>
  <si>
    <t>Memorials/Estate</t>
  </si>
  <si>
    <t>EF/Love Lights</t>
  </si>
  <si>
    <t>Matching Gifts</t>
  </si>
  <si>
    <t>Christmas Offering</t>
  </si>
  <si>
    <t>M&amp;O</t>
  </si>
  <si>
    <t>January 2017 Month-End Financial Summary</t>
  </si>
  <si>
    <t>Jan</t>
  </si>
  <si>
    <t>Jan (5 Sundays)</t>
  </si>
  <si>
    <t>YTD through Jan</t>
  </si>
  <si>
    <t>2015-16 YTD Thru Jan</t>
  </si>
  <si>
    <t>Fund Balances 01/31/2017</t>
  </si>
  <si>
    <t>2016-17 Operations (Jan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</si>
</sst>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yyyy"/>
    <numFmt numFmtId="166" formatCode="_(&quot;$&quot;* #,##0_);_(&quot;$&quot;* \(#,##0\);_(&quot;$&quot;* &quot;-&quot;??_);_(@_)"/>
    <numFmt numFmtId="167" formatCode="[$-409]mmm\-yy;@"/>
    <numFmt numFmtId="168" formatCode="#,##0.000000000000"/>
    <numFmt numFmtId="169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36"/>
      <color theme="0" tint="-0.34998626667073579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5" applyNumberFormat="0" applyAlignment="0" applyProtection="0"/>
    <xf numFmtId="0" fontId="24" fillId="28" borderId="26" applyNumberFormat="0" applyAlignment="0" applyProtection="0"/>
    <xf numFmtId="0" fontId="9" fillId="0" borderId="0">
      <alignment wrapText="1"/>
    </xf>
    <xf numFmtId="0" fontId="25" fillId="0" borderId="0">
      <alignment wrapText="1"/>
    </xf>
    <xf numFmtId="0" fontId="6" fillId="0" borderId="0">
      <alignment wrapText="1"/>
    </xf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9" fillId="0" borderId="0"/>
    <xf numFmtId="0" fontId="25" fillId="0" borderId="0"/>
    <xf numFmtId="0" fontId="6" fillId="0" borderId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5" applyNumberFormat="0" applyAlignment="0" applyProtection="0"/>
    <xf numFmtId="0" fontId="32" fillId="0" borderId="30" applyNumberFormat="0" applyFill="0" applyAlignment="0" applyProtection="0"/>
    <xf numFmtId="0" fontId="33" fillId="31" borderId="0" applyNumberFormat="0" applyBorder="0" applyAlignment="0" applyProtection="0"/>
    <xf numFmtId="0" fontId="20" fillId="0" borderId="0"/>
    <xf numFmtId="0" fontId="20" fillId="32" borderId="31" applyNumberFormat="0" applyFont="0" applyAlignment="0" applyProtection="0"/>
    <xf numFmtId="0" fontId="34" fillId="27" borderId="32" applyNumberFormat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9" fillId="0" borderId="1"/>
    <xf numFmtId="0" fontId="25" fillId="0" borderId="1"/>
    <xf numFmtId="0" fontId="6" fillId="0" borderId="1"/>
    <xf numFmtId="0" fontId="36" fillId="0" borderId="0" applyNumberForma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32" borderId="31" applyNumberFormat="0" applyFont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4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3" xfId="0" applyBorder="1" applyAlignment="1">
      <alignment horizontal="center"/>
    </xf>
    <xf numFmtId="3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0" fillId="0" borderId="10" xfId="0" applyNumberFormat="1" applyBorder="1"/>
    <xf numFmtId="3" fontId="0" fillId="0" borderId="10" xfId="0" applyNumberFormat="1" applyBorder="1" applyAlignment="1">
      <alignment horizontal="center"/>
    </xf>
    <xf numFmtId="0" fontId="0" fillId="0" borderId="8" xfId="0" applyBorder="1"/>
    <xf numFmtId="0" fontId="6" fillId="0" borderId="5" xfId="0" applyFont="1" applyBorder="1"/>
    <xf numFmtId="4" fontId="0" fillId="0" borderId="6" xfId="0" applyNumberFormat="1" applyBorder="1"/>
    <xf numFmtId="4" fontId="0" fillId="0" borderId="8" xfId="0" applyNumberFormat="1" applyBorder="1"/>
    <xf numFmtId="0" fontId="7" fillId="0" borderId="0" xfId="0" applyFont="1" applyBorder="1"/>
    <xf numFmtId="0" fontId="6" fillId="0" borderId="14" xfId="0" applyFont="1" applyBorder="1"/>
    <xf numFmtId="0" fontId="8" fillId="0" borderId="15" xfId="0" applyFont="1" applyBorder="1"/>
    <xf numFmtId="0" fontId="10" fillId="0" borderId="0" xfId="0" applyFont="1"/>
    <xf numFmtId="0" fontId="7" fillId="0" borderId="3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/>
    <xf numFmtId="3" fontId="0" fillId="0" borderId="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6" fillId="0" borderId="0" xfId="0" applyFont="1" applyBorder="1"/>
    <xf numFmtId="3" fontId="0" fillId="0" borderId="5" xfId="0" applyNumberFormat="1" applyBorder="1"/>
    <xf numFmtId="3" fontId="0" fillId="0" borderId="6" xfId="0" applyNumberFormat="1" applyBorder="1"/>
    <xf numFmtId="0" fontId="8" fillId="0" borderId="7" xfId="0" applyFont="1" applyBorder="1"/>
    <xf numFmtId="16" fontId="0" fillId="0" borderId="8" xfId="0" quotePrefix="1" applyNumberFormat="1" applyBorder="1" applyAlignment="1">
      <alignment horizontal="center"/>
    </xf>
    <xf numFmtId="8" fontId="0" fillId="0" borderId="0" xfId="0" applyNumberFormat="1" applyBorder="1"/>
    <xf numFmtId="3" fontId="6" fillId="0" borderId="8" xfId="0" applyNumberFormat="1" applyFont="1" applyBorder="1"/>
    <xf numFmtId="3" fontId="6" fillId="0" borderId="11" xfId="0" applyNumberFormat="1" applyFont="1" applyBorder="1"/>
    <xf numFmtId="14" fontId="6" fillId="0" borderId="0" xfId="0" applyNumberFormat="1" applyFont="1"/>
    <xf numFmtId="0" fontId="6" fillId="0" borderId="0" xfId="0" applyFont="1"/>
    <xf numFmtId="1" fontId="0" fillId="0" borderId="13" xfId="0" applyNumberFormat="1" applyBorder="1" applyAlignment="1">
      <alignment horizontal="center"/>
    </xf>
    <xf numFmtId="0" fontId="6" fillId="0" borderId="10" xfId="0" applyFont="1" applyBorder="1"/>
    <xf numFmtId="3" fontId="0" fillId="0" borderId="11" xfId="0" applyNumberFormat="1" applyBorder="1"/>
    <xf numFmtId="3" fontId="7" fillId="0" borderId="0" xfId="0" applyNumberFormat="1" applyFont="1" applyBorder="1" applyAlignment="1">
      <alignment horizontal="center"/>
    </xf>
    <xf numFmtId="0" fontId="12" fillId="0" borderId="0" xfId="0" applyFont="1"/>
    <xf numFmtId="166" fontId="0" fillId="0" borderId="0" xfId="33" applyNumberFormat="1" applyFont="1"/>
    <xf numFmtId="167" fontId="7" fillId="0" borderId="5" xfId="0" applyNumberFormat="1" applyFont="1" applyBorder="1" applyAlignment="1">
      <alignment horizontal="center"/>
    </xf>
    <xf numFmtId="10" fontId="0" fillId="0" borderId="0" xfId="50" applyNumberFormat="1" applyFont="1" applyFill="1" applyBorder="1"/>
    <xf numFmtId="43" fontId="0" fillId="0" borderId="0" xfId="31" applyFont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168" fontId="0" fillId="0" borderId="0" xfId="0" applyNumberFormat="1"/>
    <xf numFmtId="168" fontId="6" fillId="0" borderId="7" xfId="0" applyNumberFormat="1" applyFont="1" applyBorder="1"/>
    <xf numFmtId="0" fontId="15" fillId="0" borderId="7" xfId="0" applyFont="1" applyBorder="1"/>
    <xf numFmtId="3" fontId="16" fillId="0" borderId="0" xfId="0" applyNumberFormat="1" applyFont="1" applyBorder="1"/>
    <xf numFmtId="3" fontId="16" fillId="0" borderId="3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/>
    <xf numFmtId="0" fontId="11" fillId="0" borderId="10" xfId="0" applyFont="1" applyBorder="1"/>
    <xf numFmtId="0" fontId="6" fillId="0" borderId="15" xfId="0" applyFont="1" applyBorder="1"/>
    <xf numFmtId="3" fontId="6" fillId="0" borderId="0" xfId="0" applyNumberFormat="1" applyFont="1" applyBorder="1"/>
    <xf numFmtId="43" fontId="6" fillId="0" borderId="0" xfId="31" applyFont="1"/>
    <xf numFmtId="3" fontId="16" fillId="0" borderId="16" xfId="0" applyNumberFormat="1" applyFont="1" applyBorder="1"/>
    <xf numFmtId="164" fontId="0" fillId="0" borderId="0" xfId="0" applyNumberFormat="1"/>
    <xf numFmtId="1" fontId="0" fillId="0" borderId="0" xfId="0" applyNumberFormat="1" applyBorder="1" applyAlignment="1">
      <alignment horizontal="center"/>
    </xf>
    <xf numFmtId="8" fontId="20" fillId="0" borderId="0" xfId="47" applyNumberFormat="1"/>
    <xf numFmtId="8" fontId="20" fillId="0" borderId="0" xfId="47" applyNumberFormat="1"/>
    <xf numFmtId="8" fontId="20" fillId="0" borderId="0" xfId="47" applyNumberFormat="1"/>
    <xf numFmtId="8" fontId="20" fillId="0" borderId="0" xfId="47" applyNumberFormat="1"/>
    <xf numFmtId="8" fontId="20" fillId="0" borderId="0" xfId="47" applyNumberFormat="1"/>
    <xf numFmtId="8" fontId="20" fillId="0" borderId="0" xfId="47" applyNumberFormat="1"/>
    <xf numFmtId="8" fontId="25" fillId="0" borderId="1" xfId="56" applyNumberFormat="1"/>
    <xf numFmtId="8" fontId="20" fillId="0" borderId="0" xfId="47" applyNumberFormat="1"/>
    <xf numFmtId="8" fontId="20" fillId="0" borderId="0" xfId="47" applyNumberFormat="1"/>
    <xf numFmtId="8" fontId="25" fillId="0" borderId="0" xfId="56" applyNumberFormat="1" applyBorder="1"/>
    <xf numFmtId="43" fontId="0" fillId="0" borderId="2" xfId="31" applyFont="1" applyBorder="1"/>
    <xf numFmtId="0" fontId="25" fillId="0" borderId="1" xfId="56"/>
    <xf numFmtId="0" fontId="14" fillId="0" borderId="0" xfId="0" applyFont="1"/>
    <xf numFmtId="3" fontId="6" fillId="0" borderId="3" xfId="0" applyNumberFormat="1" applyFont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7" fillId="0" borderId="0" xfId="0" applyNumberFormat="1" applyFont="1" applyBorder="1"/>
    <xf numFmtId="0" fontId="6" fillId="0" borderId="7" xfId="0" applyFont="1" applyFill="1" applyBorder="1"/>
    <xf numFmtId="0" fontId="0" fillId="0" borderId="2" xfId="0" applyBorder="1"/>
    <xf numFmtId="3" fontId="7" fillId="0" borderId="8" xfId="0" applyNumberFormat="1" applyFont="1" applyBorder="1"/>
    <xf numFmtId="3" fontId="7" fillId="0" borderId="8" xfId="0" applyNumberFormat="1" applyFont="1" applyBorder="1" applyAlignment="1">
      <alignment horizontal="center"/>
    </xf>
    <xf numFmtId="4" fontId="6" fillId="0" borderId="8" xfId="0" applyNumberFormat="1" applyFont="1" applyBorder="1"/>
    <xf numFmtId="3" fontId="6" fillId="0" borderId="10" xfId="0" applyNumberFormat="1" applyFont="1" applyBorder="1"/>
    <xf numFmtId="0" fontId="7" fillId="0" borderId="0" xfId="0" applyFont="1" applyFill="1" applyBorder="1" applyAlignment="1">
      <alignment horizontal="center"/>
    </xf>
    <xf numFmtId="4" fontId="20" fillId="0" borderId="0" xfId="47" applyNumberFormat="1"/>
    <xf numFmtId="4" fontId="20" fillId="0" borderId="0" xfId="47" applyNumberFormat="1"/>
    <xf numFmtId="4" fontId="20" fillId="0" borderId="0" xfId="47" applyNumberFormat="1"/>
    <xf numFmtId="169" fontId="0" fillId="0" borderId="0" xfId="32" applyNumberFormat="1" applyFont="1" applyBorder="1"/>
    <xf numFmtId="169" fontId="0" fillId="0" borderId="2" xfId="32" applyNumberFormat="1" applyFont="1" applyBorder="1"/>
    <xf numFmtId="169" fontId="6" fillId="0" borderId="8" xfId="32" applyNumberFormat="1" applyFont="1" applyBorder="1"/>
    <xf numFmtId="0" fontId="6" fillId="0" borderId="7" xfId="0" applyFont="1" applyBorder="1" applyAlignment="1">
      <alignment horizontal="left"/>
    </xf>
    <xf numFmtId="0" fontId="7" fillId="0" borderId="7" xfId="0" applyFont="1" applyBorder="1"/>
    <xf numFmtId="0" fontId="18" fillId="0" borderId="7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Font="1" applyBorder="1"/>
    <xf numFmtId="169" fontId="0" fillId="0" borderId="8" xfId="32" applyNumberFormat="1" applyFont="1" applyBorder="1"/>
    <xf numFmtId="0" fontId="0" fillId="0" borderId="14" xfId="0" applyBorder="1"/>
    <xf numFmtId="8" fontId="20" fillId="0" borderId="0" xfId="47" applyNumberFormat="1"/>
    <xf numFmtId="0" fontId="14" fillId="0" borderId="0" xfId="0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19" fillId="0" borderId="0" xfId="0" applyFont="1" applyAlignment="1">
      <alignment horizontal="right"/>
    </xf>
    <xf numFmtId="3" fontId="6" fillId="0" borderId="8" xfId="31" applyNumberFormat="1" applyFont="1" applyBorder="1"/>
    <xf numFmtId="3" fontId="7" fillId="0" borderId="3" xfId="0" applyNumberFormat="1" applyFont="1" applyBorder="1"/>
    <xf numFmtId="0" fontId="3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169" fontId="6" fillId="0" borderId="0" xfId="32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6" xfId="0" applyBorder="1"/>
    <xf numFmtId="0" fontId="7" fillId="0" borderId="16" xfId="0" applyFont="1" applyBorder="1"/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35" xfId="0" applyFont="1" applyBorder="1"/>
    <xf numFmtId="0" fontId="7" fillId="0" borderId="3" xfId="0" applyFont="1" applyBorder="1" applyAlignment="1">
      <alignment horizontal="right"/>
    </xf>
    <xf numFmtId="3" fontId="5" fillId="0" borderId="2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/>
    <xf numFmtId="0" fontId="7" fillId="0" borderId="0" xfId="0" applyFont="1" applyFill="1" applyBorder="1"/>
    <xf numFmtId="166" fontId="0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/>
    <xf numFmtId="44" fontId="0" fillId="0" borderId="0" xfId="0" applyNumberFormat="1"/>
    <xf numFmtId="166" fontId="0" fillId="0" borderId="0" xfId="0" applyNumberFormat="1"/>
    <xf numFmtId="9" fontId="0" fillId="0" borderId="0" xfId="50" applyFont="1"/>
    <xf numFmtId="0" fontId="0" fillId="0" borderId="0" xfId="0" applyFont="1" applyFill="1" applyBorder="1"/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0" fontId="11" fillId="0" borderId="14" xfId="0" applyFont="1" applyBorder="1"/>
    <xf numFmtId="0" fontId="0" fillId="0" borderId="0" xfId="0" applyBorder="1"/>
    <xf numFmtId="0" fontId="0" fillId="0" borderId="7" xfId="0" applyBorder="1"/>
    <xf numFmtId="3" fontId="0" fillId="0" borderId="0" xfId="0" applyNumberFormat="1" applyBorder="1" applyAlignment="1">
      <alignment horizontal="center"/>
    </xf>
    <xf numFmtId="166" fontId="0" fillId="0" borderId="11" xfId="33" applyNumberFormat="1" applyFont="1" applyBorder="1" applyAlignment="1"/>
    <xf numFmtId="166" fontId="0" fillId="0" borderId="8" xfId="33" applyNumberFormat="1" applyFont="1" applyBorder="1" applyAlignment="1"/>
    <xf numFmtId="0" fontId="6" fillId="0" borderId="7" xfId="0" applyFont="1" applyBorder="1"/>
    <xf numFmtId="0" fontId="0" fillId="0" borderId="0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0" borderId="14" xfId="0" applyFont="1" applyBorder="1"/>
    <xf numFmtId="0" fontId="8" fillId="0" borderId="7" xfId="0" applyFont="1" applyBorder="1"/>
    <xf numFmtId="3" fontId="7" fillId="0" borderId="8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6" fontId="0" fillId="0" borderId="3" xfId="33" applyNumberFormat="1" applyFont="1" applyBorder="1" applyAlignment="1"/>
    <xf numFmtId="166" fontId="0" fillId="0" borderId="13" xfId="33" applyNumberFormat="1" applyFont="1" applyBorder="1" applyAlignment="1"/>
    <xf numFmtId="165" fontId="0" fillId="0" borderId="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8" fillId="0" borderId="15" xfId="0" applyFont="1" applyBorder="1"/>
    <xf numFmtId="0" fontId="8" fillId="0" borderId="5" xfId="0" applyFont="1" applyBorder="1"/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22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34" xfId="0" applyFont="1" applyBorder="1" applyAlignment="1">
      <alignment horizontal="left"/>
    </xf>
  </cellXfs>
  <cellStyles count="113">
    <cellStyle name="20% - Accent1" xfId="1" builtinId="30" customBuiltin="1"/>
    <cellStyle name="20% - Accent1 2" xfId="60"/>
    <cellStyle name="20% - Accent1 3" xfId="81"/>
    <cellStyle name="20% - Accent1 4" xfId="97"/>
    <cellStyle name="20% - Accent2" xfId="2" builtinId="34" customBuiltin="1"/>
    <cellStyle name="20% - Accent2 2" xfId="61"/>
    <cellStyle name="20% - Accent2 3" xfId="82"/>
    <cellStyle name="20% - Accent2 4" xfId="98"/>
    <cellStyle name="20% - Accent3" xfId="3" builtinId="38" customBuiltin="1"/>
    <cellStyle name="20% - Accent3 2" xfId="62"/>
    <cellStyle name="20% - Accent3 3" xfId="83"/>
    <cellStyle name="20% - Accent3 4" xfId="99"/>
    <cellStyle name="20% - Accent4" xfId="4" builtinId="42" customBuiltin="1"/>
    <cellStyle name="20% - Accent4 2" xfId="63"/>
    <cellStyle name="20% - Accent4 3" xfId="84"/>
    <cellStyle name="20% - Accent4 4" xfId="100"/>
    <cellStyle name="20% - Accent5" xfId="5" builtinId="46" customBuiltin="1"/>
    <cellStyle name="20% - Accent5 2" xfId="64"/>
    <cellStyle name="20% - Accent5 3" xfId="85"/>
    <cellStyle name="20% - Accent5 4" xfId="101"/>
    <cellStyle name="20% - Accent6" xfId="6" builtinId="50" customBuiltin="1"/>
    <cellStyle name="20% - Accent6 2" xfId="65"/>
    <cellStyle name="20% - Accent6 3" xfId="86"/>
    <cellStyle name="20% - Accent6 4" xfId="102"/>
    <cellStyle name="40% - Accent1" xfId="7" builtinId="31" customBuiltin="1"/>
    <cellStyle name="40% - Accent1 2" xfId="66"/>
    <cellStyle name="40% - Accent1 3" xfId="87"/>
    <cellStyle name="40% - Accent1 4" xfId="103"/>
    <cellStyle name="40% - Accent2" xfId="8" builtinId="35" customBuiltin="1"/>
    <cellStyle name="40% - Accent2 2" xfId="67"/>
    <cellStyle name="40% - Accent2 3" xfId="88"/>
    <cellStyle name="40% - Accent2 4" xfId="104"/>
    <cellStyle name="40% - Accent3" xfId="9" builtinId="39" customBuiltin="1"/>
    <cellStyle name="40% - Accent3 2" xfId="68"/>
    <cellStyle name="40% - Accent3 3" xfId="89"/>
    <cellStyle name="40% - Accent3 4" xfId="105"/>
    <cellStyle name="40% - Accent4" xfId="10" builtinId="43" customBuiltin="1"/>
    <cellStyle name="40% - Accent4 2" xfId="69"/>
    <cellStyle name="40% - Accent4 3" xfId="90"/>
    <cellStyle name="40% - Accent4 4" xfId="106"/>
    <cellStyle name="40% - Accent5" xfId="11" builtinId="47" customBuiltin="1"/>
    <cellStyle name="40% - Accent5 2" xfId="70"/>
    <cellStyle name="40% - Accent5 3" xfId="91"/>
    <cellStyle name="40% - Accent5 4" xfId="107"/>
    <cellStyle name="40% - Accent6" xfId="12" builtinId="51" customBuiltin="1"/>
    <cellStyle name="40% - Accent6 2" xfId="71"/>
    <cellStyle name="40% - Accent6 3" xfId="92"/>
    <cellStyle name="40% - Accent6 4" xfId="108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Headers" xfId="28"/>
    <cellStyle name="ColumnHeaders 2" xfId="29"/>
    <cellStyle name="ColumnHeaders 3" xfId="30"/>
    <cellStyle name="Comma" xfId="31" builtinId="3"/>
    <cellStyle name="Comma 2" xfId="32"/>
    <cellStyle name="Comma 2 2" xfId="73"/>
    <cellStyle name="Comma 3" xfId="72"/>
    <cellStyle name="Currency" xfId="33" builtinId="4"/>
    <cellStyle name="Currency 2" xfId="34"/>
    <cellStyle name="Currency 2 2" xfId="75"/>
    <cellStyle name="Currency 3" xfId="74"/>
    <cellStyle name="Explanatory Text" xfId="35" builtinId="53" customBuiltin="1"/>
    <cellStyle name="Good" xfId="36" builtinId="26" customBuiltin="1"/>
    <cellStyle name="Headers" xfId="37"/>
    <cellStyle name="Headers 2" xfId="38"/>
    <cellStyle name="Headers 3" xfId="39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/>
    <cellStyle name="Normal 2 2" xfId="76"/>
    <cellStyle name="Normal 2 3" xfId="93"/>
    <cellStyle name="Normal 2 4" xfId="109"/>
    <cellStyle name="Normal 3" xfId="59"/>
    <cellStyle name="Normal 3 2" xfId="96"/>
    <cellStyle name="Normal 3 3" xfId="112"/>
    <cellStyle name="Note 2" xfId="48"/>
    <cellStyle name="Note 2 2" xfId="77"/>
    <cellStyle name="Note 2 3" xfId="94"/>
    <cellStyle name="Note 2 4" xfId="110"/>
    <cellStyle name="Output" xfId="49" builtinId="21" customBuiltin="1"/>
    <cellStyle name="Percent" xfId="50" builtinId="5"/>
    <cellStyle name="Percent 2" xfId="51"/>
    <cellStyle name="Percent 2 2" xfId="79"/>
    <cellStyle name="Percent 3" xfId="52"/>
    <cellStyle name="Percent 3 2" xfId="80"/>
    <cellStyle name="Percent 3 3" xfId="95"/>
    <cellStyle name="Percent 3 4" xfId="111"/>
    <cellStyle name="Percent 4" xfId="78"/>
    <cellStyle name="Title" xfId="53" builtinId="15" customBuiltin="1"/>
    <cellStyle name="Total" xfId="54" builtinId="25" customBuiltin="1"/>
    <cellStyle name="Totals" xfId="55"/>
    <cellStyle name="Totals 2" xfId="56"/>
    <cellStyle name="Totals 3" xfId="57"/>
    <cellStyle name="Warning Text" xfId="5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Operating Receipts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2014-2015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Graph!$D$19:$D$20</c:f>
              <c:strCache>
                <c:ptCount val="1"/>
                <c:pt idx="0">
                  <c:v>Receipts Actual YTD</c:v>
                </c:pt>
              </c:strCache>
            </c:strRef>
          </c:tx>
          <c:marker>
            <c:symbol val="none"/>
          </c:marker>
          <c:cat>
            <c:strRef>
              <c:f>Graph!$C$21:$C$32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Graph!$D$21:$D$32</c:f>
              <c:numCache>
                <c:formatCode>#,##0</c:formatCode>
                <c:ptCount val="12"/>
                <c:pt idx="0">
                  <c:v>90687.4</c:v>
                </c:pt>
                <c:pt idx="1">
                  <c:v>183947.54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Graph!$E$19:$E$20</c:f>
              <c:strCache>
                <c:ptCount val="1"/>
                <c:pt idx="0">
                  <c:v>Receipts Budget YTD</c:v>
                </c:pt>
              </c:strCache>
            </c:strRef>
          </c:tx>
          <c:marker>
            <c:symbol val="none"/>
          </c:marker>
          <c:cat>
            <c:strRef>
              <c:f>Graph!$C$21:$C$32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Graph!$E$21:$E$32</c:f>
              <c:numCache>
                <c:formatCode>#,##0</c:formatCode>
                <c:ptCount val="12"/>
                <c:pt idx="0">
                  <c:v>104498.06</c:v>
                </c:pt>
                <c:pt idx="1">
                  <c:v>216132.47999999998</c:v>
                </c:pt>
                <c:pt idx="2" formatCode="#,##0.00">
                  <c:v>349385.47</c:v>
                </c:pt>
                <c:pt idx="3" formatCode="#,##0.00">
                  <c:v>471451.07999999996</c:v>
                </c:pt>
                <c:pt idx="4" formatCode="#,##0.00">
                  <c:v>587127.78999999992</c:v>
                </c:pt>
                <c:pt idx="5" formatCode="#,##0.00">
                  <c:v>801849.85999999987</c:v>
                </c:pt>
                <c:pt idx="6" formatCode="#,##0.00">
                  <c:v>915762.61999999988</c:v>
                </c:pt>
                <c:pt idx="7" formatCode="#,##0.00">
                  <c:v>1036809.8499999999</c:v>
                </c:pt>
                <c:pt idx="8" formatCode="#,##0.00">
                  <c:v>1172937.48</c:v>
                </c:pt>
                <c:pt idx="9" formatCode="#,##0.00">
                  <c:v>1324035.3700000001</c:v>
                </c:pt>
                <c:pt idx="10" formatCode="#,##0.00">
                  <c:v>1442987.6900000002</c:v>
                </c:pt>
                <c:pt idx="11" formatCode="#,##0.00">
                  <c:v>1558600.0000000002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Graph!$F$19:$F$20</c:f>
              <c:strCache>
                <c:ptCount val="1"/>
                <c:pt idx="0">
                  <c:v>Receipts 2013-14 Actual</c:v>
                </c:pt>
              </c:strCache>
            </c:strRef>
          </c:tx>
          <c:marker>
            <c:symbol val="none"/>
          </c:marker>
          <c:cat>
            <c:strRef>
              <c:f>Graph!$C$21:$C$32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Graph!$F$21:$F$32</c:f>
              <c:numCache>
                <c:formatCode>#,##0</c:formatCode>
                <c:ptCount val="12"/>
                <c:pt idx="0">
                  <c:v>103243.84000000001</c:v>
                </c:pt>
                <c:pt idx="1">
                  <c:v>229475.23</c:v>
                </c:pt>
                <c:pt idx="2">
                  <c:v>0</c:v>
                </c:pt>
                <c:pt idx="3">
                  <c:v>449965.79</c:v>
                </c:pt>
                <c:pt idx="4">
                  <c:v>579143.31999999995</c:v>
                </c:pt>
                <c:pt idx="5">
                  <c:v>801095.03</c:v>
                </c:pt>
                <c:pt idx="6">
                  <c:v>907642.3</c:v>
                </c:pt>
                <c:pt idx="7">
                  <c:v>994452.93</c:v>
                </c:pt>
                <c:pt idx="8">
                  <c:v>1121008.69</c:v>
                </c:pt>
                <c:pt idx="9">
                  <c:v>1268719.56</c:v>
                </c:pt>
                <c:pt idx="10">
                  <c:v>1369620.61</c:v>
                </c:pt>
                <c:pt idx="11">
                  <c:v>1537573.85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96320"/>
        <c:axId val="173139072"/>
      </c:lineChart>
      <c:catAx>
        <c:axId val="1730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139072"/>
        <c:crosses val="autoZero"/>
        <c:auto val="1"/>
        <c:lblAlgn val="ctr"/>
        <c:lblOffset val="100"/>
        <c:noMultiLvlLbl val="0"/>
      </c:catAx>
      <c:valAx>
        <c:axId val="173139072"/>
        <c:scaling>
          <c:orientation val="minMax"/>
          <c:max val="16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$ Receipts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96320"/>
        <c:crosses val="autoZero"/>
        <c:crossBetween val="between"/>
        <c:majorUnit val="100000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Operating Expenses Budget vs Actual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2014-2015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(with prior yr comparison)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6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28082877688700408"/>
          <c:y val="1.88457561685908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Graph!$D$2:$D$3</c:f>
              <c:strCache>
                <c:ptCount val="1"/>
                <c:pt idx="0">
                  <c:v>Actual YTD</c:v>
                </c:pt>
              </c:strCache>
            </c:strRef>
          </c:tx>
          <c:marker>
            <c:symbol val="none"/>
          </c:marker>
          <c:cat>
            <c:strRef>
              <c:f>Graph!$C$4:$C$15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Graph!$D$4:$D$15</c:f>
              <c:numCache>
                <c:formatCode>#,##0</c:formatCode>
                <c:ptCount val="12"/>
                <c:pt idx="0">
                  <c:v>97730.18</c:v>
                </c:pt>
                <c:pt idx="1">
                  <c:v>201652.76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Graph!$E$2:$E$3</c:f>
              <c:strCache>
                <c:ptCount val="1"/>
                <c:pt idx="0">
                  <c:v>Budget YTD</c:v>
                </c:pt>
              </c:strCache>
            </c:strRef>
          </c:tx>
          <c:marker>
            <c:symbol val="none"/>
          </c:marker>
          <c:cat>
            <c:strRef>
              <c:f>Graph!$C$4:$C$15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Graph!$E$4:$E$15</c:f>
              <c:numCache>
                <c:formatCode>#,##0</c:formatCode>
                <c:ptCount val="12"/>
                <c:pt idx="0">
                  <c:v>114960.22</c:v>
                </c:pt>
                <c:pt idx="1">
                  <c:v>236863.39</c:v>
                </c:pt>
                <c:pt idx="2" formatCode="#,##0.00">
                  <c:v>367531.72000000003</c:v>
                </c:pt>
                <c:pt idx="3" formatCode="#,##0.00">
                  <c:v>497869.01</c:v>
                </c:pt>
                <c:pt idx="4" formatCode="#,##0.00">
                  <c:v>630310.21</c:v>
                </c:pt>
                <c:pt idx="5" formatCode="#,##0.00">
                  <c:v>777660.79999999993</c:v>
                </c:pt>
                <c:pt idx="6" formatCode="#,##0.00">
                  <c:v>903229.80999999994</c:v>
                </c:pt>
                <c:pt idx="7" formatCode="#,##0.00">
                  <c:v>1038048.6299999999</c:v>
                </c:pt>
                <c:pt idx="8" formatCode="#,##0.00">
                  <c:v>1173516.8499999999</c:v>
                </c:pt>
                <c:pt idx="9" formatCode="#,##0.00">
                  <c:v>1300499.6599999999</c:v>
                </c:pt>
                <c:pt idx="10" formatCode="#,##0.00">
                  <c:v>1427349.9</c:v>
                </c:pt>
                <c:pt idx="11" formatCode="#,##0.00">
                  <c:v>1558600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Graph!$F$2:$F$3</c:f>
              <c:strCache>
                <c:ptCount val="1"/>
                <c:pt idx="0">
                  <c:v>2013-14 Actual</c:v>
                </c:pt>
              </c:strCache>
            </c:strRef>
          </c:tx>
          <c:marker>
            <c:symbol val="none"/>
          </c:marker>
          <c:cat>
            <c:strRef>
              <c:f>Graph!$C$4:$C$15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Graph!$F$4:$F$15</c:f>
              <c:numCache>
                <c:formatCode>#,##0.00</c:formatCode>
                <c:ptCount val="12"/>
                <c:pt idx="0">
                  <c:v>112969.61</c:v>
                </c:pt>
                <c:pt idx="1">
                  <c:v>225390.16</c:v>
                </c:pt>
                <c:pt idx="2">
                  <c:v>346029.38</c:v>
                </c:pt>
                <c:pt idx="3">
                  <c:v>510414.77</c:v>
                </c:pt>
                <c:pt idx="4">
                  <c:v>619363.74</c:v>
                </c:pt>
                <c:pt idx="5">
                  <c:v>764474.98</c:v>
                </c:pt>
                <c:pt idx="6">
                  <c:v>897179.74</c:v>
                </c:pt>
                <c:pt idx="7">
                  <c:v>1039794.8</c:v>
                </c:pt>
                <c:pt idx="8">
                  <c:v>1164990.92</c:v>
                </c:pt>
                <c:pt idx="9">
                  <c:v>1314583.4099999999</c:v>
                </c:pt>
                <c:pt idx="10">
                  <c:v>1457548.34</c:v>
                </c:pt>
                <c:pt idx="11">
                  <c:v>1583220.42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35904"/>
        <c:axId val="173445888"/>
      </c:lineChart>
      <c:catAx>
        <c:axId val="1734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45888"/>
        <c:crosses val="autoZero"/>
        <c:auto val="1"/>
        <c:lblAlgn val="ctr"/>
        <c:lblOffset val="100"/>
        <c:noMultiLvlLbl val="0"/>
      </c:catAx>
      <c:valAx>
        <c:axId val="173445888"/>
        <c:scaling>
          <c:orientation val="minMax"/>
          <c:max val="16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$ Expenses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35904"/>
        <c:crosses val="autoZero"/>
        <c:crossBetween val="between"/>
        <c:majorUnit val="100000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152400</xdr:rowOff>
    </xdr:from>
    <xdr:to>
      <xdr:col>9</xdr:col>
      <xdr:colOff>114300</xdr:colOff>
      <xdr:row>43</xdr:row>
      <xdr:rowOff>114300</xdr:rowOff>
    </xdr:to>
    <xdr:graphicFrame macro="">
      <xdr:nvGraphicFramePr>
        <xdr:cNvPr id="34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22</xdr:row>
      <xdr:rowOff>180975</xdr:rowOff>
    </xdr:to>
    <xdr:graphicFrame macro="">
      <xdr:nvGraphicFramePr>
        <xdr:cNvPr id="34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7"/>
  <sheetViews>
    <sheetView workbookViewId="0">
      <selection activeCell="B3" sqref="B3"/>
    </sheetView>
  </sheetViews>
  <sheetFormatPr defaultRowHeight="12.75" x14ac:dyDescent="0.2"/>
  <cols>
    <col min="1" max="1" width="2.28515625" customWidth="1"/>
    <col min="2" max="2" width="19" customWidth="1"/>
    <col min="3" max="3" width="10.5703125" customWidth="1"/>
    <col min="4" max="4" width="10.28515625" customWidth="1"/>
    <col min="5" max="5" width="11.85546875" bestFit="1" customWidth="1"/>
    <col min="6" max="6" width="11" bestFit="1" customWidth="1"/>
    <col min="7" max="7" width="11.85546875" bestFit="1" customWidth="1"/>
    <col min="8" max="8" width="9.7109375" bestFit="1" customWidth="1"/>
    <col min="9" max="9" width="12.7109375" customWidth="1"/>
    <col min="10" max="10" width="2.5703125" customWidth="1"/>
    <col min="12" max="12" width="3.5703125" customWidth="1"/>
    <col min="13" max="13" width="33.5703125" hidden="1" customWidth="1"/>
    <col min="14" max="14" width="12.5703125" hidden="1" customWidth="1"/>
    <col min="16" max="16" width="11" style="1" bestFit="1" customWidth="1"/>
    <col min="17" max="17" width="2.7109375" customWidth="1"/>
    <col min="18" max="18" width="10.140625" bestFit="1" customWidth="1"/>
    <col min="19" max="19" width="11.7109375" bestFit="1" customWidth="1"/>
  </cols>
  <sheetData>
    <row r="1" spans="2:19" x14ac:dyDescent="0.2">
      <c r="N1" s="47"/>
      <c r="O1" s="48"/>
    </row>
    <row r="2" spans="2:19" ht="18" x14ac:dyDescent="0.25">
      <c r="B2" s="33" t="s">
        <v>0</v>
      </c>
      <c r="G2" s="33"/>
      <c r="H2" s="7"/>
    </row>
    <row r="3" spans="2:19" ht="23.25" x14ac:dyDescent="0.35">
      <c r="B3" s="33" t="s">
        <v>47</v>
      </c>
      <c r="G3" s="53"/>
      <c r="H3" s="53"/>
    </row>
    <row r="4" spans="2:19" ht="10.15" customHeight="1" x14ac:dyDescent="0.25">
      <c r="B4" s="33"/>
    </row>
    <row r="5" spans="2:19" ht="18.75" thickBot="1" x14ac:dyDescent="0.3">
      <c r="B5" s="33"/>
      <c r="C5" s="11"/>
      <c r="D5" s="11"/>
      <c r="E5" s="11"/>
    </row>
    <row r="6" spans="2:19" ht="15.75" x14ac:dyDescent="0.25">
      <c r="B6" s="32" t="s">
        <v>28</v>
      </c>
      <c r="C6" s="173">
        <v>41821</v>
      </c>
      <c r="D6" s="173"/>
      <c r="E6" s="174"/>
      <c r="F6" s="175">
        <v>41456</v>
      </c>
      <c r="G6" s="175"/>
      <c r="H6" s="176"/>
    </row>
    <row r="7" spans="2:19" ht="14.25" customHeight="1" x14ac:dyDescent="0.25">
      <c r="B7" s="42"/>
      <c r="C7" s="177" t="s">
        <v>48</v>
      </c>
      <c r="D7" s="178"/>
      <c r="E7" s="179"/>
      <c r="F7" s="177" t="s">
        <v>48</v>
      </c>
      <c r="G7" s="178"/>
      <c r="H7" s="180"/>
    </row>
    <row r="8" spans="2:19" ht="15.75" x14ac:dyDescent="0.25">
      <c r="B8" s="42"/>
      <c r="C8" s="13"/>
      <c r="D8" s="13" t="s">
        <v>12</v>
      </c>
      <c r="E8" s="6" t="s">
        <v>14</v>
      </c>
      <c r="F8" s="13"/>
      <c r="G8" s="13" t="s">
        <v>12</v>
      </c>
      <c r="H8" s="12" t="s">
        <v>14</v>
      </c>
      <c r="M8" s="71"/>
      <c r="O8" s="36"/>
    </row>
    <row r="9" spans="2:19" x14ac:dyDescent="0.2">
      <c r="B9" s="14"/>
      <c r="C9" s="21" t="s">
        <v>10</v>
      </c>
      <c r="D9" s="21" t="s">
        <v>11</v>
      </c>
      <c r="E9" s="34" t="s">
        <v>15</v>
      </c>
      <c r="F9" s="21" t="s">
        <v>10</v>
      </c>
      <c r="G9" s="21" t="s">
        <v>11</v>
      </c>
      <c r="H9" s="23" t="s">
        <v>15</v>
      </c>
      <c r="M9" s="57"/>
    </row>
    <row r="10" spans="2:19" x14ac:dyDescent="0.2">
      <c r="B10" s="10" t="s">
        <v>49</v>
      </c>
      <c r="C10" s="7">
        <v>83973.61</v>
      </c>
      <c r="D10" s="22">
        <v>487</v>
      </c>
      <c r="E10" s="37">
        <f t="shared" ref="E10:E15" si="0">C10/D10</f>
        <v>172.43041067761808</v>
      </c>
      <c r="F10" s="7">
        <v>82576.06</v>
      </c>
      <c r="G10" s="22">
        <v>507</v>
      </c>
      <c r="H10" s="35">
        <f t="shared" ref="H10:H15" si="1">F10/G10</f>
        <v>162.87191321499014</v>
      </c>
      <c r="M10" s="57"/>
    </row>
    <row r="11" spans="2:19" x14ac:dyDescent="0.2">
      <c r="B11" s="10" t="s">
        <v>6</v>
      </c>
      <c r="C11" s="7">
        <v>4999.46</v>
      </c>
      <c r="D11" s="22">
        <v>70</v>
      </c>
      <c r="E11" s="37">
        <f t="shared" si="0"/>
        <v>71.420857142857145</v>
      </c>
      <c r="F11" s="7">
        <v>6103.25</v>
      </c>
      <c r="G11" s="22">
        <v>87</v>
      </c>
      <c r="H11" s="35">
        <f t="shared" si="1"/>
        <v>70.152298850574709</v>
      </c>
      <c r="K11" s="36"/>
      <c r="M11" s="70"/>
      <c r="N11" s="7"/>
      <c r="O11" s="22"/>
      <c r="P11" s="22"/>
    </row>
    <row r="12" spans="2:19" x14ac:dyDescent="0.2">
      <c r="B12" s="10" t="s">
        <v>19</v>
      </c>
      <c r="C12" s="7">
        <f>4060+100+1970</f>
        <v>6130</v>
      </c>
      <c r="D12" s="22">
        <v>59</v>
      </c>
      <c r="E12" s="37">
        <f t="shared" si="0"/>
        <v>103.89830508474576</v>
      </c>
      <c r="F12" s="7">
        <v>1292.1500000000001</v>
      </c>
      <c r="G12" s="22">
        <v>21</v>
      </c>
      <c r="H12" s="35">
        <f t="shared" si="1"/>
        <v>61.530952380952385</v>
      </c>
      <c r="M12" s="70"/>
      <c r="N12" s="7"/>
      <c r="O12" s="22"/>
      <c r="P12" s="22"/>
    </row>
    <row r="13" spans="2:19" x14ac:dyDescent="0.2">
      <c r="B13" s="92" t="s">
        <v>50</v>
      </c>
      <c r="C13">
        <v>570</v>
      </c>
      <c r="D13" s="22">
        <v>3</v>
      </c>
      <c r="E13" s="37">
        <f t="shared" si="0"/>
        <v>190</v>
      </c>
      <c r="F13" s="58">
        <v>7501.9</v>
      </c>
      <c r="G13" s="59">
        <v>18</v>
      </c>
      <c r="H13" s="35">
        <f t="shared" si="1"/>
        <v>416.77222222222218</v>
      </c>
      <c r="I13" s="89"/>
      <c r="M13" s="39"/>
      <c r="N13" s="7"/>
      <c r="O13" s="22"/>
      <c r="P13" s="22"/>
    </row>
    <row r="14" spans="2:19" s="1" customFormat="1" x14ac:dyDescent="0.2">
      <c r="B14" s="10" t="s">
        <v>9</v>
      </c>
      <c r="C14" s="91">
        <f>C15-SUM(C10:C13)</f>
        <v>3256.5099999999948</v>
      </c>
      <c r="D14" s="22">
        <v>23</v>
      </c>
      <c r="E14" s="37">
        <f t="shared" si="0"/>
        <v>141.58739130434759</v>
      </c>
      <c r="F14" s="91">
        <f>F15-SUM(F10:F13)</f>
        <v>5433.5500000000175</v>
      </c>
      <c r="G14" s="22">
        <v>58</v>
      </c>
      <c r="H14" s="35">
        <f t="shared" si="1"/>
        <v>93.681896551724435</v>
      </c>
      <c r="I14" s="90"/>
      <c r="J14"/>
      <c r="K14"/>
      <c r="L14"/>
      <c r="M14" s="39"/>
      <c r="N14" s="7"/>
      <c r="O14" s="22"/>
      <c r="P14" s="22"/>
      <c r="Q14"/>
      <c r="R14"/>
      <c r="S14"/>
    </row>
    <row r="15" spans="2:19" ht="13.5" thickBot="1" x14ac:dyDescent="0.25">
      <c r="B15" s="31" t="s">
        <v>8</v>
      </c>
      <c r="C15" s="24">
        <v>98929.58</v>
      </c>
      <c r="D15" s="25">
        <v>524</v>
      </c>
      <c r="E15" s="49">
        <f t="shared" si="0"/>
        <v>188.79690839694658</v>
      </c>
      <c r="F15" s="24">
        <v>102906.91</v>
      </c>
      <c r="G15" s="25">
        <v>546</v>
      </c>
      <c r="H15" s="38">
        <f t="shared" si="1"/>
        <v>188.47419413919414</v>
      </c>
      <c r="I15" s="89"/>
      <c r="K15" s="73"/>
      <c r="M15" s="39"/>
      <c r="N15" s="7"/>
      <c r="O15" s="22"/>
      <c r="P15" s="22"/>
    </row>
    <row r="16" spans="2:19" ht="18.75" thickBot="1" x14ac:dyDescent="0.3">
      <c r="B16" s="33"/>
      <c r="F16" s="58"/>
      <c r="G16" s="59"/>
      <c r="M16" s="39"/>
      <c r="N16" s="7"/>
      <c r="O16" s="22"/>
      <c r="P16" s="74"/>
    </row>
    <row r="17" spans="2:14" ht="15.75" x14ac:dyDescent="0.25">
      <c r="B17" s="32" t="s">
        <v>29</v>
      </c>
      <c r="C17" s="8"/>
      <c r="D17" s="8"/>
      <c r="E17" s="55">
        <v>41821</v>
      </c>
      <c r="F17" s="8"/>
      <c r="G17" s="55">
        <v>41456</v>
      </c>
      <c r="H17" s="9"/>
      <c r="N17" s="36"/>
    </row>
    <row r="18" spans="2:14" x14ac:dyDescent="0.2">
      <c r="B18" s="10" t="s">
        <v>30</v>
      </c>
      <c r="C18" s="11"/>
      <c r="D18" s="11"/>
      <c r="E18" s="7">
        <f>C10</f>
        <v>83973.61</v>
      </c>
      <c r="F18" s="11"/>
      <c r="G18" s="58">
        <f>F10</f>
        <v>82576.06</v>
      </c>
      <c r="H18" s="26"/>
      <c r="I18" s="36"/>
      <c r="K18" s="36"/>
    </row>
    <row r="19" spans="2:14" x14ac:dyDescent="0.2">
      <c r="B19" s="10" t="s">
        <v>37</v>
      </c>
      <c r="C19" s="11"/>
      <c r="D19" s="11"/>
      <c r="E19" s="7">
        <f>736.25+75</f>
        <v>811.25</v>
      </c>
      <c r="F19" s="11"/>
      <c r="G19" s="7">
        <v>9161.9</v>
      </c>
      <c r="H19" s="26"/>
      <c r="I19" s="36"/>
      <c r="K19" s="36"/>
    </row>
    <row r="20" spans="2:14" x14ac:dyDescent="0.2">
      <c r="B20" s="10" t="s">
        <v>26</v>
      </c>
      <c r="C20" s="11"/>
      <c r="D20" s="11"/>
      <c r="E20" s="7">
        <v>1921</v>
      </c>
      <c r="F20" s="11"/>
      <c r="G20" s="7">
        <v>1431</v>
      </c>
      <c r="H20" s="26"/>
      <c r="I20" s="36"/>
    </row>
    <row r="21" spans="2:14" x14ac:dyDescent="0.2">
      <c r="B21" s="10" t="s">
        <v>42</v>
      </c>
      <c r="C21" s="11"/>
      <c r="D21" s="11"/>
      <c r="E21" s="7">
        <v>0</v>
      </c>
      <c r="F21" s="11"/>
      <c r="G21" s="7">
        <v>4185.75</v>
      </c>
      <c r="H21" s="26"/>
      <c r="I21" s="36"/>
      <c r="M21" s="36"/>
    </row>
    <row r="22" spans="2:14" x14ac:dyDescent="0.2">
      <c r="B22" s="10" t="s">
        <v>27</v>
      </c>
      <c r="C22" s="11"/>
      <c r="D22" s="11"/>
      <c r="E22" s="2">
        <f>109+3.42+3869.12</f>
        <v>3981.54</v>
      </c>
      <c r="F22" s="11"/>
      <c r="G22" s="2">
        <f>3.13+5815.26+70.74</f>
        <v>5889.13</v>
      </c>
      <c r="H22" s="26"/>
      <c r="I22" s="60"/>
      <c r="K22" s="1"/>
      <c r="M22" s="36"/>
      <c r="N22" s="36"/>
    </row>
    <row r="23" spans="2:14" ht="13.5" thickBot="1" x14ac:dyDescent="0.25">
      <c r="B23" s="31" t="s">
        <v>8</v>
      </c>
      <c r="C23" s="17"/>
      <c r="D23" s="17"/>
      <c r="E23" s="24">
        <f>SUM(E18:E22)</f>
        <v>90687.4</v>
      </c>
      <c r="F23" s="17"/>
      <c r="G23" s="24">
        <f>SUM(G18:G22)</f>
        <v>103243.84</v>
      </c>
      <c r="H23" s="18"/>
      <c r="M23" s="60"/>
    </row>
    <row r="24" spans="2:14" ht="13.5" thickBot="1" x14ac:dyDescent="0.25">
      <c r="I24" s="93"/>
      <c r="N24" s="36"/>
    </row>
    <row r="25" spans="2:14" ht="15.75" x14ac:dyDescent="0.25">
      <c r="B25" s="32" t="s">
        <v>3</v>
      </c>
      <c r="C25" s="8"/>
      <c r="D25" s="19"/>
      <c r="E25" s="8"/>
      <c r="F25" s="8"/>
      <c r="G25" s="19"/>
      <c r="H25" s="8"/>
      <c r="I25" s="9"/>
    </row>
    <row r="26" spans="2:14" x14ac:dyDescent="0.2">
      <c r="B26" s="10"/>
      <c r="C26" s="11"/>
      <c r="D26" s="66" t="s">
        <v>51</v>
      </c>
      <c r="E26" s="11"/>
      <c r="F26" s="13" t="s">
        <v>13</v>
      </c>
      <c r="G26" s="3"/>
      <c r="H26" s="13">
        <v>2013</v>
      </c>
      <c r="I26" s="43" t="s">
        <v>52</v>
      </c>
    </row>
    <row r="27" spans="2:14" x14ac:dyDescent="0.2">
      <c r="B27" s="61"/>
      <c r="C27" s="65" t="s">
        <v>51</v>
      </c>
      <c r="D27" s="6" t="s">
        <v>24</v>
      </c>
      <c r="E27" s="13" t="s">
        <v>13</v>
      </c>
      <c r="F27" s="13" t="s">
        <v>24</v>
      </c>
      <c r="G27" s="6" t="s">
        <v>13</v>
      </c>
      <c r="H27" s="65" t="s">
        <v>51</v>
      </c>
      <c r="I27" s="12" t="s">
        <v>13</v>
      </c>
    </row>
    <row r="28" spans="2:14" x14ac:dyDescent="0.2">
      <c r="B28" s="14"/>
      <c r="C28" s="21" t="s">
        <v>1</v>
      </c>
      <c r="D28" s="34" t="s">
        <v>25</v>
      </c>
      <c r="E28" s="21" t="s">
        <v>1</v>
      </c>
      <c r="F28" s="21" t="s">
        <v>25</v>
      </c>
      <c r="G28" s="34" t="s">
        <v>2</v>
      </c>
      <c r="H28" s="21" t="s">
        <v>1</v>
      </c>
      <c r="I28" s="23" t="s">
        <v>1</v>
      </c>
    </row>
    <row r="29" spans="2:14" x14ac:dyDescent="0.2">
      <c r="B29" s="14"/>
      <c r="C29" s="21"/>
      <c r="D29" s="34"/>
      <c r="E29" s="21"/>
      <c r="F29" s="21"/>
      <c r="G29" s="34"/>
      <c r="H29" s="21"/>
      <c r="I29" s="23"/>
    </row>
    <row r="30" spans="2:14" x14ac:dyDescent="0.2">
      <c r="B30" s="14" t="s">
        <v>33</v>
      </c>
      <c r="C30" s="7">
        <f>E18+E19+E20</f>
        <v>86705.86</v>
      </c>
      <c r="D30" s="4">
        <v>98355.02</v>
      </c>
      <c r="E30" s="7">
        <v>86705.86</v>
      </c>
      <c r="F30" s="7">
        <v>98355.02</v>
      </c>
      <c r="G30" s="88">
        <f>E30-F30</f>
        <v>-11649.160000000003</v>
      </c>
      <c r="H30" s="7">
        <v>93168.960000000006</v>
      </c>
      <c r="I30" s="15">
        <v>93168.960000000006</v>
      </c>
      <c r="K30" s="36"/>
      <c r="N30" s="36"/>
    </row>
    <row r="31" spans="2:14" x14ac:dyDescent="0.2">
      <c r="B31" s="62" t="s">
        <v>34</v>
      </c>
      <c r="C31" s="63">
        <f>E21+E22</f>
        <v>3981.54</v>
      </c>
      <c r="D31" s="64">
        <v>6143.04</v>
      </c>
      <c r="E31" s="63">
        <v>3981.54</v>
      </c>
      <c r="F31" s="63">
        <v>6143.04</v>
      </c>
      <c r="G31" s="63">
        <f>E31-F31</f>
        <v>-2161.5</v>
      </c>
      <c r="H31" s="72">
        <v>10074.879999999999</v>
      </c>
      <c r="I31" s="94">
        <v>10074.879999999999</v>
      </c>
      <c r="J31" s="11"/>
    </row>
    <row r="32" spans="2:14" x14ac:dyDescent="0.2">
      <c r="B32" s="10" t="s">
        <v>35</v>
      </c>
      <c r="C32" s="7">
        <f>E23</f>
        <v>90687.4</v>
      </c>
      <c r="D32" s="4">
        <f>D30+D31</f>
        <v>104498.06</v>
      </c>
      <c r="E32" s="7">
        <f>SUM(E30:E31)</f>
        <v>90687.4</v>
      </c>
      <c r="F32" s="7">
        <f>F30+F31</f>
        <v>104498.06</v>
      </c>
      <c r="G32" s="67">
        <f>E32-F32</f>
        <v>-13810.660000000003</v>
      </c>
      <c r="H32" s="7">
        <f>SUM(H30:H31)</f>
        <v>103243.84000000001</v>
      </c>
      <c r="I32" s="15">
        <f>SUM(I30:I31)</f>
        <v>103243.84000000001</v>
      </c>
      <c r="J32" s="13"/>
      <c r="K32" s="36"/>
      <c r="M32" s="36"/>
    </row>
    <row r="33" spans="2:19" x14ac:dyDescent="0.2">
      <c r="B33" s="10" t="s">
        <v>21</v>
      </c>
      <c r="C33" s="2">
        <v>97730.18</v>
      </c>
      <c r="D33" s="5">
        <v>114960.22</v>
      </c>
      <c r="E33" s="2">
        <v>97730.18</v>
      </c>
      <c r="F33" s="2">
        <v>114960.22</v>
      </c>
      <c r="G33" s="5">
        <f>E33-F33</f>
        <v>-17230.040000000008</v>
      </c>
      <c r="H33" s="2">
        <v>112969.61</v>
      </c>
      <c r="I33" s="16">
        <v>112969.61</v>
      </c>
      <c r="J33" s="13"/>
      <c r="K33" s="36"/>
    </row>
    <row r="34" spans="2:19" x14ac:dyDescent="0.2">
      <c r="B34" s="10"/>
      <c r="C34" s="7"/>
      <c r="D34" s="4"/>
      <c r="E34" s="7"/>
      <c r="F34" s="44"/>
      <c r="G34" s="4"/>
      <c r="H34" s="7"/>
      <c r="I34" s="95"/>
      <c r="J34" s="21"/>
      <c r="Q34" s="1"/>
      <c r="S34" s="44"/>
    </row>
    <row r="35" spans="2:19" x14ac:dyDescent="0.2">
      <c r="B35" s="10" t="s">
        <v>4</v>
      </c>
      <c r="C35" s="7">
        <f t="shared" ref="C35:H35" si="2">C32-C33</f>
        <v>-7042.7799999999988</v>
      </c>
      <c r="D35" s="4">
        <f t="shared" si="2"/>
        <v>-10462.160000000003</v>
      </c>
      <c r="E35" s="70">
        <f>E32-E33</f>
        <v>-7042.7799999999988</v>
      </c>
      <c r="F35" s="7">
        <f>F32-F33</f>
        <v>-10462.160000000003</v>
      </c>
      <c r="G35" s="4">
        <f t="shared" si="2"/>
        <v>3419.3800000000047</v>
      </c>
      <c r="H35" s="7">
        <f t="shared" si="2"/>
        <v>-9725.7699999999895</v>
      </c>
      <c r="I35" s="15">
        <f>I32-I33</f>
        <v>-9725.7699999999895</v>
      </c>
      <c r="J35" s="13"/>
      <c r="K35" s="56"/>
      <c r="Q35" s="1"/>
      <c r="S35" s="44"/>
    </row>
    <row r="36" spans="2:19" ht="13.5" thickBot="1" x14ac:dyDescent="0.25">
      <c r="B36" s="31"/>
      <c r="C36" s="17"/>
      <c r="D36" s="20"/>
      <c r="E36" s="17"/>
      <c r="F36" s="17"/>
      <c r="G36" s="20"/>
      <c r="H36" s="17"/>
      <c r="I36" s="18"/>
      <c r="J36" s="7"/>
      <c r="Q36" s="1"/>
      <c r="S36" s="44"/>
    </row>
    <row r="37" spans="2:19" ht="18" x14ac:dyDescent="0.25">
      <c r="B37" s="33"/>
      <c r="C37" s="7"/>
      <c r="D37" s="11"/>
      <c r="E37" s="11"/>
      <c r="F37" s="11"/>
      <c r="G37" s="11"/>
      <c r="H37" s="11"/>
      <c r="J37" s="7"/>
      <c r="M37" s="36"/>
      <c r="Q37" s="1"/>
      <c r="R37" s="36"/>
      <c r="S37" s="44"/>
    </row>
    <row r="38" spans="2:19" x14ac:dyDescent="0.2">
      <c r="C38" s="36"/>
      <c r="D38" s="36"/>
      <c r="E38" s="36"/>
      <c r="F38" s="36"/>
      <c r="G38" s="36"/>
      <c r="H38" s="36"/>
      <c r="I38" s="36"/>
      <c r="J38" s="7"/>
      <c r="K38" s="54"/>
      <c r="P38" s="22"/>
      <c r="Q38" s="1"/>
    </row>
    <row r="39" spans="2:19" ht="13.5" thickBot="1" x14ac:dyDescent="0.25">
      <c r="J39" s="7"/>
      <c r="Q39" s="1"/>
      <c r="S39" s="44"/>
    </row>
    <row r="40" spans="2:19" ht="15.75" x14ac:dyDescent="0.25">
      <c r="B40" s="32" t="s">
        <v>5</v>
      </c>
      <c r="C40" s="27"/>
      <c r="D40" s="8"/>
      <c r="E40" s="8"/>
      <c r="F40" s="8"/>
      <c r="G40" s="28"/>
      <c r="I40" s="11"/>
      <c r="J40" s="11"/>
      <c r="Q40" s="1"/>
      <c r="S40" s="44"/>
    </row>
    <row r="41" spans="2:19" x14ac:dyDescent="0.2">
      <c r="B41" s="14"/>
      <c r="C41" s="11"/>
      <c r="D41" s="11"/>
      <c r="E41" s="11"/>
      <c r="F41" s="11"/>
      <c r="G41" s="29"/>
      <c r="I41" s="11"/>
      <c r="Q41" s="1"/>
      <c r="S41" s="44"/>
    </row>
    <row r="42" spans="2:19" x14ac:dyDescent="0.2">
      <c r="B42" s="10" t="s">
        <v>17</v>
      </c>
      <c r="C42" s="11"/>
      <c r="D42" s="11"/>
      <c r="E42" s="11"/>
      <c r="F42" s="11"/>
      <c r="G42" s="45">
        <f>E35</f>
        <v>-7042.7799999999988</v>
      </c>
      <c r="I42" s="7"/>
      <c r="Q42" s="1"/>
      <c r="S42" s="44"/>
    </row>
    <row r="43" spans="2:19" ht="15" x14ac:dyDescent="0.25">
      <c r="B43" s="10" t="s">
        <v>53</v>
      </c>
      <c r="G43" s="45">
        <v>-121105.74</v>
      </c>
      <c r="I43" s="84"/>
      <c r="N43" s="36"/>
      <c r="Q43" s="1"/>
      <c r="S43" s="44"/>
    </row>
    <row r="44" spans="2:19" ht="15" x14ac:dyDescent="0.25">
      <c r="B44" s="10"/>
      <c r="G44" s="96"/>
      <c r="I44" s="84"/>
      <c r="N44" s="36"/>
      <c r="Q44" s="1"/>
      <c r="S44" s="44"/>
    </row>
    <row r="45" spans="2:19" ht="16.5" customHeight="1" x14ac:dyDescent="0.2">
      <c r="B45" s="10" t="s">
        <v>7</v>
      </c>
      <c r="C45" s="11"/>
      <c r="D45" s="11"/>
      <c r="E45" s="11"/>
      <c r="F45" s="11"/>
      <c r="G45" s="45">
        <v>426936.54</v>
      </c>
      <c r="I45" s="7"/>
      <c r="J45" s="11"/>
      <c r="N45" s="36"/>
      <c r="S45" s="44"/>
    </row>
    <row r="46" spans="2:19" x14ac:dyDescent="0.2">
      <c r="B46" s="10"/>
      <c r="C46" s="11"/>
      <c r="D46" s="11"/>
      <c r="E46" s="11"/>
      <c r="F46" s="11"/>
      <c r="G46" s="45"/>
      <c r="I46" s="52"/>
      <c r="J46" s="11"/>
      <c r="S46" s="44"/>
    </row>
    <row r="47" spans="2:19" ht="15" x14ac:dyDescent="0.25">
      <c r="B47" s="14"/>
      <c r="C47" s="30" t="s">
        <v>6</v>
      </c>
      <c r="D47" s="11"/>
      <c r="E47" s="11"/>
      <c r="F47" s="11"/>
      <c r="G47" s="15">
        <v>46679.01</v>
      </c>
      <c r="I47" s="84"/>
      <c r="J47" s="7"/>
    </row>
    <row r="48" spans="2:19" x14ac:dyDescent="0.2">
      <c r="B48" s="14"/>
      <c r="C48" s="11"/>
      <c r="D48" s="11"/>
      <c r="E48" s="11"/>
      <c r="F48" s="11"/>
      <c r="G48" s="15"/>
      <c r="I48" s="7"/>
      <c r="J48" s="7"/>
    </row>
    <row r="49" spans="2:14" ht="15" x14ac:dyDescent="0.25">
      <c r="B49" s="14"/>
      <c r="C49" s="30" t="s">
        <v>22</v>
      </c>
      <c r="D49" s="11"/>
      <c r="E49" s="11"/>
      <c r="F49" s="11"/>
      <c r="G49" s="15">
        <v>206028.97</v>
      </c>
      <c r="I49" s="76"/>
      <c r="J49" s="7"/>
      <c r="N49" s="57"/>
    </row>
    <row r="50" spans="2:14" x14ac:dyDescent="0.2">
      <c r="B50" s="14"/>
      <c r="C50" s="11"/>
      <c r="D50" s="11"/>
      <c r="E50" s="11"/>
      <c r="F50" s="11"/>
      <c r="G50" s="15"/>
      <c r="I50" s="7"/>
      <c r="J50" s="7"/>
      <c r="N50" s="57"/>
    </row>
    <row r="51" spans="2:14" ht="15.75" thickBot="1" x14ac:dyDescent="0.3">
      <c r="B51" s="14"/>
      <c r="C51" s="30" t="s">
        <v>19</v>
      </c>
      <c r="D51" s="11"/>
      <c r="E51" s="11"/>
      <c r="F51" s="11"/>
      <c r="G51" s="15">
        <v>33325.870000000003</v>
      </c>
      <c r="I51" s="77"/>
      <c r="J51" s="7"/>
      <c r="M51" s="87" t="s">
        <v>46</v>
      </c>
      <c r="N51" s="57"/>
    </row>
    <row r="52" spans="2:14" ht="15.75" thickTop="1" x14ac:dyDescent="0.25">
      <c r="B52" s="14"/>
      <c r="C52" s="11"/>
      <c r="D52" s="11"/>
      <c r="E52" s="11"/>
      <c r="F52" s="11"/>
      <c r="G52" s="15"/>
      <c r="I52" s="7"/>
      <c r="J52" s="7"/>
      <c r="M52" s="86" t="s">
        <v>45</v>
      </c>
      <c r="N52" s="81">
        <v>-131938.66</v>
      </c>
    </row>
    <row r="53" spans="2:14" x14ac:dyDescent="0.2">
      <c r="B53" s="14"/>
      <c r="C53" s="30" t="s">
        <v>20</v>
      </c>
      <c r="D53" s="11"/>
      <c r="E53" s="11"/>
      <c r="F53" s="11"/>
      <c r="G53" s="15">
        <f>G45-SUM(G46:G52)</f>
        <v>140902.68999999994</v>
      </c>
      <c r="H53" s="11"/>
      <c r="I53" s="7"/>
      <c r="N53" s="57"/>
    </row>
    <row r="54" spans="2:14" x14ac:dyDescent="0.2">
      <c r="B54" s="14"/>
      <c r="C54" s="30"/>
      <c r="D54" s="11"/>
      <c r="E54" s="11"/>
      <c r="F54" s="11"/>
      <c r="G54" s="15"/>
      <c r="H54" s="11"/>
      <c r="I54" s="7"/>
      <c r="N54" s="57"/>
    </row>
    <row r="55" spans="2:14" ht="13.5" thickBot="1" x14ac:dyDescent="0.25">
      <c r="B55" s="14"/>
      <c r="C55" s="11"/>
      <c r="D55" s="11"/>
      <c r="E55" s="11"/>
      <c r="F55" s="11"/>
      <c r="G55" s="15"/>
      <c r="H55" s="11"/>
      <c r="I55" s="11"/>
      <c r="J55" s="7"/>
      <c r="M55" t="s">
        <v>44</v>
      </c>
      <c r="N55" s="85">
        <v>-117747.16</v>
      </c>
    </row>
    <row r="56" spans="2:14" ht="15.75" thickTop="1" x14ac:dyDescent="0.25">
      <c r="B56" s="10" t="s">
        <v>43</v>
      </c>
      <c r="C56" s="11"/>
      <c r="D56" s="11"/>
      <c r="E56" s="11"/>
      <c r="F56" s="11"/>
      <c r="G56" s="45">
        <v>-3100.6</v>
      </c>
      <c r="I56" s="79"/>
      <c r="N56" s="81">
        <f>SUM(N55:N55)</f>
        <v>-117747.16</v>
      </c>
    </row>
    <row r="57" spans="2:14" ht="15.75" thickBot="1" x14ac:dyDescent="0.3">
      <c r="B57" s="31" t="s">
        <v>18</v>
      </c>
      <c r="C57" s="17"/>
      <c r="D57" s="17"/>
      <c r="E57" s="68"/>
      <c r="F57" s="17"/>
      <c r="G57" s="46">
        <v>-2625.59</v>
      </c>
      <c r="I57" s="78"/>
      <c r="J57" s="7"/>
      <c r="N57" s="57"/>
    </row>
    <row r="58" spans="2:14" ht="13.5" thickBot="1" x14ac:dyDescent="0.25">
      <c r="N58" s="57"/>
    </row>
    <row r="59" spans="2:14" x14ac:dyDescent="0.2">
      <c r="B59" s="69" t="s">
        <v>38</v>
      </c>
      <c r="C59" s="8"/>
      <c r="D59" s="8"/>
      <c r="E59" s="8"/>
      <c r="F59" s="8"/>
      <c r="G59" s="9"/>
      <c r="N59" s="57"/>
    </row>
    <row r="60" spans="2:14" ht="15" x14ac:dyDescent="0.25">
      <c r="B60" s="14" t="s">
        <v>39</v>
      </c>
      <c r="C60" s="11"/>
      <c r="D60" s="11"/>
      <c r="E60" s="11"/>
      <c r="F60" s="11"/>
      <c r="G60" s="15">
        <v>11672.57</v>
      </c>
      <c r="I60" s="80"/>
      <c r="N60" s="57"/>
    </row>
    <row r="61" spans="2:14" ht="15" x14ac:dyDescent="0.25">
      <c r="B61" s="14" t="s">
        <v>40</v>
      </c>
      <c r="C61" s="11"/>
      <c r="D61" s="11"/>
      <c r="E61" s="11"/>
      <c r="F61" s="11"/>
      <c r="G61" s="16">
        <f>G62-G60</f>
        <v>378710.43</v>
      </c>
      <c r="I61" s="83"/>
      <c r="N61" s="57"/>
    </row>
    <row r="62" spans="2:14" ht="15.75" thickBot="1" x14ac:dyDescent="0.3">
      <c r="B62" s="31" t="s">
        <v>41</v>
      </c>
      <c r="C62" s="17"/>
      <c r="D62" s="17"/>
      <c r="E62" s="17"/>
      <c r="F62" s="17"/>
      <c r="G62" s="46">
        <v>390383</v>
      </c>
      <c r="I62" s="84"/>
      <c r="N62" s="57"/>
    </row>
    <row r="63" spans="2:14" ht="13.5" thickBot="1" x14ac:dyDescent="0.25">
      <c r="N63" s="57"/>
    </row>
    <row r="64" spans="2:14" ht="15.75" x14ac:dyDescent="0.25">
      <c r="B64" s="32" t="s">
        <v>36</v>
      </c>
      <c r="C64" s="27"/>
      <c r="D64" s="27"/>
      <c r="E64" s="40"/>
      <c r="F64" s="41"/>
      <c r="N64" s="57"/>
    </row>
    <row r="65" spans="2:14" x14ac:dyDescent="0.2">
      <c r="B65" s="14"/>
      <c r="C65" s="39"/>
      <c r="D65" s="39"/>
      <c r="E65" s="7"/>
      <c r="F65" s="15"/>
      <c r="N65" s="57"/>
    </row>
    <row r="66" spans="2:14" x14ac:dyDescent="0.2">
      <c r="B66" s="10" t="s">
        <v>32</v>
      </c>
      <c r="C66" s="39"/>
      <c r="D66" s="39"/>
      <c r="E66" s="7">
        <f>E69-E68-E67</f>
        <v>197304.66</v>
      </c>
      <c r="F66" s="15"/>
      <c r="I66" s="36"/>
      <c r="N66" s="57"/>
    </row>
    <row r="67" spans="2:14" ht="15" x14ac:dyDescent="0.25">
      <c r="B67" s="10" t="s">
        <v>23</v>
      </c>
      <c r="C67" s="39"/>
      <c r="D67" s="39"/>
      <c r="E67" s="7">
        <v>29456.799999999999</v>
      </c>
      <c r="F67" s="15"/>
      <c r="I67" s="82"/>
      <c r="N67" s="57"/>
    </row>
    <row r="68" spans="2:14" ht="15" x14ac:dyDescent="0.25">
      <c r="B68" s="10" t="s">
        <v>31</v>
      </c>
      <c r="C68" s="39"/>
      <c r="D68" s="39"/>
      <c r="E68" s="2">
        <v>72434.22</v>
      </c>
      <c r="F68" s="15"/>
      <c r="G68" s="75"/>
      <c r="I68" s="83"/>
      <c r="N68" s="57"/>
    </row>
    <row r="69" spans="2:14" ht="15.75" thickBot="1" x14ac:dyDescent="0.3">
      <c r="B69" s="31" t="s">
        <v>16</v>
      </c>
      <c r="C69" s="50"/>
      <c r="D69" s="50"/>
      <c r="E69" s="97">
        <v>299195.68</v>
      </c>
      <c r="F69" s="51"/>
      <c r="I69" s="84"/>
    </row>
    <row r="77" spans="2:14" ht="8.4499999999999993" customHeight="1" x14ac:dyDescent="0.2"/>
  </sheetData>
  <mergeCells count="4">
    <mergeCell ref="C6:E6"/>
    <mergeCell ref="F6:H6"/>
    <mergeCell ref="C7:E7"/>
    <mergeCell ref="F7:H7"/>
  </mergeCells>
  <pageMargins left="0.25" right="0.25" top="0.25" bottom="0.25" header="0.5" footer="0.5"/>
  <pageSetup scale="77" orientation="portrait" horizontalDpi="4294967293" verticalDpi="4294967293" r:id="rId1"/>
  <headerFooter alignWithMargins="0"/>
  <ignoredErrors>
    <ignoredError sqref="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6"/>
  <sheetViews>
    <sheetView workbookViewId="0">
      <selection activeCell="K58" sqref="K58"/>
    </sheetView>
  </sheetViews>
  <sheetFormatPr defaultRowHeight="12.75" x14ac:dyDescent="0.2"/>
  <cols>
    <col min="1" max="1" width="2.28515625" customWidth="1"/>
    <col min="2" max="2" width="19" customWidth="1"/>
    <col min="3" max="3" width="10.5703125" customWidth="1"/>
    <col min="4" max="4" width="10.28515625" customWidth="1"/>
    <col min="5" max="5" width="11.85546875" bestFit="1" customWidth="1"/>
    <col min="6" max="6" width="11" bestFit="1" customWidth="1"/>
    <col min="7" max="7" width="11.85546875" bestFit="1" customWidth="1"/>
    <col min="8" max="8" width="9.7109375" bestFit="1" customWidth="1"/>
    <col min="9" max="9" width="12.7109375" customWidth="1"/>
    <col min="10" max="10" width="2.5703125" customWidth="1"/>
    <col min="12" max="12" width="3.5703125" customWidth="1"/>
    <col min="13" max="13" width="33.5703125" hidden="1" customWidth="1"/>
    <col min="14" max="14" width="12.5703125" hidden="1" customWidth="1"/>
    <col min="16" max="16" width="11" style="1" bestFit="1" customWidth="1"/>
    <col min="17" max="17" width="2.7109375" customWidth="1"/>
    <col min="18" max="18" width="10.140625" bestFit="1" customWidth="1"/>
    <col min="19" max="19" width="11.7109375" bestFit="1" customWidth="1"/>
  </cols>
  <sheetData>
    <row r="1" spans="2:19" x14ac:dyDescent="0.2">
      <c r="N1" s="47"/>
      <c r="O1" s="48"/>
    </row>
    <row r="2" spans="2:19" ht="18" x14ac:dyDescent="0.25">
      <c r="B2" s="33" t="s">
        <v>0</v>
      </c>
      <c r="G2" s="33"/>
      <c r="H2" s="7"/>
    </row>
    <row r="3" spans="2:19" ht="23.25" x14ac:dyDescent="0.35">
      <c r="B3" s="33" t="s">
        <v>54</v>
      </c>
      <c r="G3" s="53"/>
      <c r="H3" s="53"/>
    </row>
    <row r="4" spans="2:19" ht="10.15" customHeight="1" x14ac:dyDescent="0.25">
      <c r="B4" s="33"/>
    </row>
    <row r="5" spans="2:19" ht="18.75" thickBot="1" x14ac:dyDescent="0.3">
      <c r="B5" s="33"/>
      <c r="C5" s="11"/>
      <c r="D5" s="11"/>
      <c r="E5" s="11"/>
    </row>
    <row r="6" spans="2:19" ht="15.75" x14ac:dyDescent="0.25">
      <c r="B6" s="32" t="s">
        <v>28</v>
      </c>
      <c r="C6" s="173">
        <v>41852</v>
      </c>
      <c r="D6" s="173"/>
      <c r="E6" s="174"/>
      <c r="F6" s="175">
        <v>41487</v>
      </c>
      <c r="G6" s="175"/>
      <c r="H6" s="176"/>
    </row>
    <row r="7" spans="2:19" ht="14.25" customHeight="1" x14ac:dyDescent="0.25">
      <c r="B7" s="42"/>
      <c r="C7" s="177" t="s">
        <v>55</v>
      </c>
      <c r="D7" s="178"/>
      <c r="E7" s="179"/>
      <c r="F7" s="177" t="s">
        <v>48</v>
      </c>
      <c r="G7" s="178"/>
      <c r="H7" s="180"/>
    </row>
    <row r="8" spans="2:19" ht="15.75" x14ac:dyDescent="0.25">
      <c r="B8" s="42"/>
      <c r="C8" s="13"/>
      <c r="D8" s="13" t="s">
        <v>12</v>
      </c>
      <c r="E8" s="6" t="s">
        <v>14</v>
      </c>
      <c r="F8" s="13"/>
      <c r="G8" s="13" t="s">
        <v>12</v>
      </c>
      <c r="H8" s="12" t="s">
        <v>14</v>
      </c>
      <c r="M8" s="71"/>
      <c r="O8" s="36"/>
    </row>
    <row r="9" spans="2:19" x14ac:dyDescent="0.2">
      <c r="B9" s="14"/>
      <c r="C9" s="21" t="s">
        <v>10</v>
      </c>
      <c r="D9" s="21" t="s">
        <v>11</v>
      </c>
      <c r="E9" s="34" t="s">
        <v>15</v>
      </c>
      <c r="F9" s="21" t="s">
        <v>10</v>
      </c>
      <c r="G9" s="21" t="s">
        <v>11</v>
      </c>
      <c r="H9" s="23" t="s">
        <v>15</v>
      </c>
      <c r="K9" s="98"/>
      <c r="M9" s="57"/>
    </row>
    <row r="10" spans="2:19" x14ac:dyDescent="0.2">
      <c r="B10" s="10" t="s">
        <v>49</v>
      </c>
      <c r="C10" s="7">
        <v>85649.48</v>
      </c>
      <c r="D10" s="22">
        <v>504</v>
      </c>
      <c r="E10" s="37">
        <f>C10/D10</f>
        <v>169.93944444444443</v>
      </c>
      <c r="F10" s="7">
        <f>200+116551.56-10.42</f>
        <v>116741.14</v>
      </c>
      <c r="G10" s="22">
        <v>512</v>
      </c>
      <c r="H10" s="35">
        <f>F10/G10</f>
        <v>228.0100390625</v>
      </c>
      <c r="M10" s="57"/>
    </row>
    <row r="11" spans="2:19" x14ac:dyDescent="0.2">
      <c r="B11" s="10" t="s">
        <v>6</v>
      </c>
      <c r="C11" s="7">
        <v>5824.34</v>
      </c>
      <c r="D11" s="22">
        <v>78</v>
      </c>
      <c r="E11" s="37">
        <f>C11/D11</f>
        <v>74.671025641025636</v>
      </c>
      <c r="F11" s="7">
        <v>5872.25</v>
      </c>
      <c r="G11" s="22">
        <v>87</v>
      </c>
      <c r="H11" s="35">
        <f>F11/G11</f>
        <v>67.497126436781613</v>
      </c>
      <c r="K11" s="36"/>
      <c r="M11" s="70"/>
      <c r="N11" s="7"/>
      <c r="O11" s="22"/>
      <c r="P11" s="22"/>
    </row>
    <row r="12" spans="2:19" s="1" customFormat="1" x14ac:dyDescent="0.2">
      <c r="B12" s="10" t="s">
        <v>9</v>
      </c>
      <c r="C12" s="91">
        <f>C13-SUM(C10:C11)</f>
        <v>13176.680000000008</v>
      </c>
      <c r="D12" s="22">
        <v>35</v>
      </c>
      <c r="E12" s="37">
        <f>C12/D12</f>
        <v>376.47657142857162</v>
      </c>
      <c r="F12" s="91">
        <f>F13-SUM(F10:F11)</f>
        <v>8234.4400000000023</v>
      </c>
      <c r="G12" s="22">
        <v>51</v>
      </c>
      <c r="H12" s="35">
        <f>F12/G12</f>
        <v>161.45960784313729</v>
      </c>
      <c r="I12" s="90"/>
      <c r="J12"/>
      <c r="K12"/>
      <c r="L12"/>
      <c r="M12" s="39"/>
      <c r="N12" s="7"/>
      <c r="O12" s="22"/>
      <c r="P12" s="22"/>
      <c r="Q12"/>
      <c r="R12"/>
      <c r="S12"/>
    </row>
    <row r="13" spans="2:19" ht="13.5" thickBot="1" x14ac:dyDescent="0.25">
      <c r="B13" s="31" t="s">
        <v>8</v>
      </c>
      <c r="C13" s="24">
        <v>104650.5</v>
      </c>
      <c r="D13" s="25">
        <v>517</v>
      </c>
      <c r="E13" s="49">
        <f>C13/D13</f>
        <v>202.41876208897486</v>
      </c>
      <c r="F13" s="24">
        <v>130847.83</v>
      </c>
      <c r="G13" s="25">
        <v>544</v>
      </c>
      <c r="H13" s="38">
        <f>F13/G13</f>
        <v>240.52909926470588</v>
      </c>
      <c r="I13" s="89"/>
      <c r="K13" s="73"/>
      <c r="M13" s="39"/>
      <c r="N13" s="7"/>
      <c r="O13" s="22"/>
      <c r="P13" s="22"/>
    </row>
    <row r="14" spans="2:19" ht="18.75" thickBot="1" x14ac:dyDescent="0.3">
      <c r="B14" s="33"/>
      <c r="F14" s="58"/>
      <c r="G14" s="59"/>
      <c r="M14" s="39"/>
      <c r="N14" s="7"/>
      <c r="O14" s="22"/>
      <c r="P14" s="74"/>
    </row>
    <row r="15" spans="2:19" ht="15.75" x14ac:dyDescent="0.25">
      <c r="B15" s="32" t="s">
        <v>29</v>
      </c>
      <c r="C15" s="8"/>
      <c r="D15" s="8"/>
      <c r="E15" s="55">
        <v>41852</v>
      </c>
      <c r="F15" s="8"/>
      <c r="G15" s="55">
        <v>41487</v>
      </c>
      <c r="H15" s="9"/>
      <c r="N15" s="36"/>
    </row>
    <row r="16" spans="2:19" x14ac:dyDescent="0.2">
      <c r="B16" s="10" t="s">
        <v>30</v>
      </c>
      <c r="C16" s="11"/>
      <c r="D16" s="11"/>
      <c r="E16" s="7">
        <f>C10</f>
        <v>85649.48</v>
      </c>
      <c r="F16" s="11"/>
      <c r="G16" s="58">
        <f>F10</f>
        <v>116741.14</v>
      </c>
      <c r="H16" s="26"/>
      <c r="I16" s="36"/>
      <c r="K16" s="36"/>
    </row>
    <row r="17" spans="2:14" x14ac:dyDescent="0.2">
      <c r="B17" s="10" t="s">
        <v>37</v>
      </c>
      <c r="C17" s="11"/>
      <c r="D17" s="11"/>
      <c r="E17" s="7">
        <v>336.25</v>
      </c>
      <c r="F17" s="11"/>
      <c r="G17" s="7">
        <v>1545</v>
      </c>
      <c r="H17" s="26"/>
      <c r="I17" s="36"/>
      <c r="K17" s="36"/>
    </row>
    <row r="18" spans="2:14" x14ac:dyDescent="0.2">
      <c r="B18" s="10" t="s">
        <v>26</v>
      </c>
      <c r="C18" s="11"/>
      <c r="D18" s="11"/>
      <c r="E18" s="7">
        <v>2059</v>
      </c>
      <c r="F18" s="11"/>
      <c r="G18" s="7">
        <v>1744</v>
      </c>
      <c r="H18" s="26"/>
      <c r="I18" s="36"/>
    </row>
    <row r="19" spans="2:14" x14ac:dyDescent="0.2">
      <c r="B19" s="10" t="s">
        <v>56</v>
      </c>
      <c r="C19" s="11"/>
      <c r="D19" s="11"/>
      <c r="E19" s="7">
        <v>3177.2</v>
      </c>
      <c r="F19" s="11"/>
      <c r="G19" s="7">
        <v>3212.21</v>
      </c>
      <c r="H19" s="26"/>
      <c r="I19" s="36"/>
    </row>
    <row r="20" spans="2:14" x14ac:dyDescent="0.2">
      <c r="B20" s="10" t="s">
        <v>27</v>
      </c>
      <c r="C20" s="11"/>
      <c r="D20" s="11"/>
      <c r="E20" s="7">
        <f>1669.59+366+2.65</f>
        <v>2038.24</v>
      </c>
      <c r="F20" s="11"/>
      <c r="G20" s="7">
        <f>G22-G16-G17-G18-G19-G21</f>
        <v>357.80000000000018</v>
      </c>
      <c r="H20" s="26"/>
      <c r="I20" s="36"/>
      <c r="M20" s="36"/>
    </row>
    <row r="21" spans="2:14" x14ac:dyDescent="0.2">
      <c r="B21" s="10" t="s">
        <v>42</v>
      </c>
      <c r="C21" s="11"/>
      <c r="D21" s="11"/>
      <c r="E21" s="2">
        <v>0</v>
      </c>
      <c r="F21" s="11"/>
      <c r="G21" s="2">
        <v>2631.24</v>
      </c>
      <c r="H21" s="26"/>
      <c r="I21" s="60"/>
      <c r="K21" s="1"/>
      <c r="M21" s="36"/>
      <c r="N21" s="36"/>
    </row>
    <row r="22" spans="2:14" ht="13.5" thickBot="1" x14ac:dyDescent="0.25">
      <c r="B22" s="31" t="s">
        <v>8</v>
      </c>
      <c r="C22" s="17"/>
      <c r="D22" s="17"/>
      <c r="E22" s="24">
        <f>SUM(E16:E21)</f>
        <v>93260.17</v>
      </c>
      <c r="F22" s="17"/>
      <c r="G22" s="24">
        <v>126231.39</v>
      </c>
      <c r="H22" s="18"/>
      <c r="M22" s="60"/>
    </row>
    <row r="23" spans="2:14" ht="13.5" thickBot="1" x14ac:dyDescent="0.25">
      <c r="I23" s="93"/>
      <c r="N23" s="36"/>
    </row>
    <row r="24" spans="2:14" ht="15.75" x14ac:dyDescent="0.25">
      <c r="B24" s="32" t="s">
        <v>3</v>
      </c>
      <c r="C24" s="8"/>
      <c r="D24" s="19"/>
      <c r="E24" s="8"/>
      <c r="F24" s="8"/>
      <c r="G24" s="19"/>
      <c r="H24" s="8"/>
      <c r="I24" s="9"/>
    </row>
    <row r="25" spans="2:14" x14ac:dyDescent="0.2">
      <c r="B25" s="10"/>
      <c r="C25" s="11"/>
      <c r="D25" s="66" t="s">
        <v>57</v>
      </c>
      <c r="E25" s="11"/>
      <c r="F25" s="13" t="s">
        <v>13</v>
      </c>
      <c r="G25" s="3"/>
      <c r="H25" s="13">
        <v>2013</v>
      </c>
      <c r="I25" s="43" t="s">
        <v>52</v>
      </c>
    </row>
    <row r="26" spans="2:14" x14ac:dyDescent="0.2">
      <c r="B26" s="61"/>
      <c r="C26" s="65" t="s">
        <v>57</v>
      </c>
      <c r="D26" s="6" t="s">
        <v>24</v>
      </c>
      <c r="E26" s="13" t="s">
        <v>13</v>
      </c>
      <c r="F26" s="13" t="s">
        <v>24</v>
      </c>
      <c r="G26" s="6" t="s">
        <v>13</v>
      </c>
      <c r="H26" s="65" t="s">
        <v>57</v>
      </c>
      <c r="I26" s="12" t="s">
        <v>13</v>
      </c>
    </row>
    <row r="27" spans="2:14" x14ac:dyDescent="0.2">
      <c r="B27" s="14"/>
      <c r="C27" s="21" t="s">
        <v>1</v>
      </c>
      <c r="D27" s="34" t="s">
        <v>25</v>
      </c>
      <c r="E27" s="21" t="s">
        <v>1</v>
      </c>
      <c r="F27" s="21" t="s">
        <v>25</v>
      </c>
      <c r="G27" s="34" t="s">
        <v>2</v>
      </c>
      <c r="H27" s="21" t="s">
        <v>1</v>
      </c>
      <c r="I27" s="23" t="s">
        <v>1</v>
      </c>
    </row>
    <row r="28" spans="2:14" x14ac:dyDescent="0.2">
      <c r="B28" s="14"/>
      <c r="C28" s="21"/>
      <c r="D28" s="34"/>
      <c r="E28" s="21"/>
      <c r="F28" s="21"/>
      <c r="G28" s="34"/>
      <c r="H28" s="21"/>
      <c r="I28" s="23"/>
    </row>
    <row r="29" spans="2:14" x14ac:dyDescent="0.2">
      <c r="B29" s="14" t="s">
        <v>33</v>
      </c>
      <c r="C29" s="7">
        <v>89714.32</v>
      </c>
      <c r="D29" s="4">
        <v>105350.89</v>
      </c>
      <c r="E29" s="7">
        <v>176420.15</v>
      </c>
      <c r="F29" s="7">
        <v>203705.91</v>
      </c>
      <c r="G29" s="88">
        <f>E29-F29</f>
        <v>-27285.760000000009</v>
      </c>
      <c r="H29" s="7">
        <v>119975.52</v>
      </c>
      <c r="I29" s="15">
        <v>213144.48</v>
      </c>
      <c r="K29" s="36"/>
      <c r="N29" s="36"/>
    </row>
    <row r="30" spans="2:14" x14ac:dyDescent="0.2">
      <c r="B30" s="62" t="s">
        <v>34</v>
      </c>
      <c r="C30" s="63">
        <v>3545.85</v>
      </c>
      <c r="D30" s="64">
        <v>6283.53</v>
      </c>
      <c r="E30" s="63">
        <v>7527.39</v>
      </c>
      <c r="F30" s="63">
        <v>12426.57</v>
      </c>
      <c r="G30" s="63">
        <f>E30-F30</f>
        <v>-4899.1799999999994</v>
      </c>
      <c r="H30" s="72">
        <v>6255.87</v>
      </c>
      <c r="I30" s="94">
        <v>16330.75</v>
      </c>
      <c r="J30" s="11"/>
    </row>
    <row r="31" spans="2:14" x14ac:dyDescent="0.2">
      <c r="B31" s="10" t="s">
        <v>35</v>
      </c>
      <c r="C31" s="7">
        <f>E22</f>
        <v>93260.17</v>
      </c>
      <c r="D31" s="4">
        <f>D29+D30</f>
        <v>111634.42</v>
      </c>
      <c r="E31" s="7">
        <f>SUM(E29:E30)</f>
        <v>183947.54</v>
      </c>
      <c r="F31" s="7">
        <f>F29+F30</f>
        <v>216132.48000000001</v>
      </c>
      <c r="G31" s="67">
        <f>E31-F31</f>
        <v>-32184.940000000002</v>
      </c>
      <c r="H31" s="7">
        <f>SUM(H29:H30)</f>
        <v>126231.39</v>
      </c>
      <c r="I31" s="15">
        <f>SUM(I29:I30)</f>
        <v>229475.23</v>
      </c>
      <c r="J31" s="13"/>
      <c r="K31" s="36"/>
      <c r="M31" s="36"/>
    </row>
    <row r="32" spans="2:14" x14ac:dyDescent="0.2">
      <c r="B32" s="10" t="s">
        <v>21</v>
      </c>
      <c r="C32" s="2">
        <v>103922.58</v>
      </c>
      <c r="D32" s="5">
        <v>121903.17</v>
      </c>
      <c r="E32" s="2">
        <v>201652.76</v>
      </c>
      <c r="F32" s="2">
        <v>236863.39</v>
      </c>
      <c r="G32" s="5">
        <f>E32-F32</f>
        <v>-35210.630000000005</v>
      </c>
      <c r="H32" s="2">
        <v>112420.55</v>
      </c>
      <c r="I32" s="16">
        <v>225390.16</v>
      </c>
      <c r="J32" s="13"/>
      <c r="K32" s="36"/>
    </row>
    <row r="33" spans="2:19" x14ac:dyDescent="0.2">
      <c r="B33" s="10"/>
      <c r="C33" s="7"/>
      <c r="D33" s="4"/>
      <c r="E33" s="7"/>
      <c r="F33" s="44"/>
      <c r="G33" s="4"/>
      <c r="H33" s="7"/>
      <c r="I33" s="95"/>
      <c r="J33" s="21"/>
      <c r="Q33" s="1"/>
      <c r="S33" s="44"/>
    </row>
    <row r="34" spans="2:19" x14ac:dyDescent="0.2">
      <c r="B34" s="10" t="s">
        <v>4</v>
      </c>
      <c r="C34" s="7">
        <f t="shared" ref="C34:H34" si="0">C31-C32</f>
        <v>-10662.410000000003</v>
      </c>
      <c r="D34" s="4">
        <f t="shared" si="0"/>
        <v>-10268.75</v>
      </c>
      <c r="E34" s="70">
        <f>E31-E32</f>
        <v>-17705.22</v>
      </c>
      <c r="F34" s="7">
        <f>F31-F32</f>
        <v>-20730.910000000003</v>
      </c>
      <c r="G34" s="4">
        <f t="shared" si="0"/>
        <v>3025.6900000000023</v>
      </c>
      <c r="H34" s="7">
        <f t="shared" si="0"/>
        <v>13810.839999999997</v>
      </c>
      <c r="I34" s="15">
        <f>I31-I32</f>
        <v>4085.070000000007</v>
      </c>
      <c r="J34" s="13"/>
      <c r="K34" s="56"/>
      <c r="Q34" s="1"/>
      <c r="S34" s="44"/>
    </row>
    <row r="35" spans="2:19" ht="13.5" thickBot="1" x14ac:dyDescent="0.25">
      <c r="B35" s="31"/>
      <c r="C35" s="17"/>
      <c r="D35" s="20"/>
      <c r="E35" s="17"/>
      <c r="F35" s="17"/>
      <c r="G35" s="20"/>
      <c r="H35" s="17"/>
      <c r="I35" s="18"/>
      <c r="J35" s="7"/>
      <c r="Q35" s="1"/>
      <c r="S35" s="44"/>
    </row>
    <row r="36" spans="2:19" ht="18" x14ac:dyDescent="0.25">
      <c r="B36" s="33"/>
      <c r="C36" s="7"/>
      <c r="D36" s="11"/>
      <c r="E36" s="11"/>
      <c r="F36" s="11"/>
      <c r="G36" s="11"/>
      <c r="H36" s="11"/>
      <c r="J36" s="7"/>
      <c r="M36" s="36"/>
      <c r="Q36" s="1"/>
      <c r="R36" s="36"/>
      <c r="S36" s="44"/>
    </row>
    <row r="37" spans="2:19" x14ac:dyDescent="0.2">
      <c r="C37" s="36"/>
      <c r="D37" s="36"/>
      <c r="E37" s="36"/>
      <c r="F37" s="36"/>
      <c r="G37" s="36"/>
      <c r="H37" s="36"/>
      <c r="I37" s="36"/>
      <c r="J37" s="7"/>
      <c r="K37" s="54"/>
      <c r="P37" s="22"/>
      <c r="Q37" s="1"/>
    </row>
    <row r="38" spans="2:19" ht="13.5" thickBot="1" x14ac:dyDescent="0.25">
      <c r="J38" s="7"/>
      <c r="Q38" s="1"/>
      <c r="S38" s="44"/>
    </row>
    <row r="39" spans="2:19" ht="15.75" x14ac:dyDescent="0.25">
      <c r="B39" s="32" t="s">
        <v>5</v>
      </c>
      <c r="C39" s="27"/>
      <c r="D39" s="8"/>
      <c r="E39" s="8"/>
      <c r="F39" s="8"/>
      <c r="G39" s="28"/>
      <c r="I39" s="11"/>
      <c r="J39" s="11"/>
      <c r="Q39" s="1"/>
      <c r="S39" s="44"/>
    </row>
    <row r="40" spans="2:19" x14ac:dyDescent="0.2">
      <c r="B40" s="14"/>
      <c r="C40" s="11"/>
      <c r="D40" s="11"/>
      <c r="E40" s="11"/>
      <c r="F40" s="11"/>
      <c r="G40" s="29"/>
      <c r="I40" s="11"/>
      <c r="Q40" s="1"/>
      <c r="S40" s="44"/>
    </row>
    <row r="41" spans="2:19" x14ac:dyDescent="0.2">
      <c r="B41" s="10" t="s">
        <v>17</v>
      </c>
      <c r="C41" s="11"/>
      <c r="D41" s="11"/>
      <c r="E41" s="11"/>
      <c r="F41" s="11"/>
      <c r="G41" s="45">
        <f>E34</f>
        <v>-17705.22</v>
      </c>
      <c r="I41" s="7"/>
      <c r="Q41" s="1"/>
      <c r="S41" s="44"/>
    </row>
    <row r="42" spans="2:19" ht="15" x14ac:dyDescent="0.25">
      <c r="B42" s="10" t="s">
        <v>53</v>
      </c>
      <c r="G42" s="45">
        <v>-127089.77</v>
      </c>
      <c r="I42" s="84"/>
      <c r="N42" s="36"/>
      <c r="Q42" s="1"/>
      <c r="S42" s="44"/>
    </row>
    <row r="43" spans="2:19" ht="15" x14ac:dyDescent="0.25">
      <c r="B43" s="10"/>
      <c r="G43" s="96"/>
      <c r="I43" s="84"/>
      <c r="N43" s="36"/>
      <c r="Q43" s="1"/>
      <c r="S43" s="44"/>
    </row>
    <row r="44" spans="2:19" ht="16.5" customHeight="1" x14ac:dyDescent="0.2">
      <c r="B44" s="10" t="s">
        <v>7</v>
      </c>
      <c r="C44" s="11"/>
      <c r="D44" s="11"/>
      <c r="E44" s="11"/>
      <c r="F44" s="11"/>
      <c r="G44" s="45">
        <v>412957</v>
      </c>
      <c r="I44" s="7"/>
      <c r="J44" s="11"/>
      <c r="N44" s="36"/>
      <c r="S44" s="44"/>
    </row>
    <row r="45" spans="2:19" x14ac:dyDescent="0.2">
      <c r="B45" s="10"/>
      <c r="C45" s="11"/>
      <c r="D45" s="11"/>
      <c r="E45" s="11"/>
      <c r="F45" s="11"/>
      <c r="G45" s="45"/>
      <c r="I45" s="52"/>
      <c r="J45" s="11"/>
      <c r="S45" s="44"/>
    </row>
    <row r="46" spans="2:19" ht="15" x14ac:dyDescent="0.25">
      <c r="B46" s="14"/>
      <c r="C46" s="30" t="s">
        <v>6</v>
      </c>
      <c r="D46" s="11"/>
      <c r="E46" s="11"/>
      <c r="F46" s="11"/>
      <c r="G46" s="15">
        <v>43283.08</v>
      </c>
      <c r="I46" s="84"/>
      <c r="J46" s="7"/>
    </row>
    <row r="47" spans="2:19" x14ac:dyDescent="0.2">
      <c r="B47" s="14"/>
      <c r="C47" s="11"/>
      <c r="D47" s="11"/>
      <c r="E47" s="11"/>
      <c r="F47" s="11"/>
      <c r="G47" s="15"/>
      <c r="I47" s="7"/>
      <c r="J47" s="7"/>
    </row>
    <row r="48" spans="2:19" ht="15" x14ac:dyDescent="0.25">
      <c r="B48" s="14"/>
      <c r="C48" s="30" t="s">
        <v>22</v>
      </c>
      <c r="D48" s="11"/>
      <c r="E48" s="11"/>
      <c r="F48" s="11"/>
      <c r="G48" s="15">
        <v>206078.66</v>
      </c>
      <c r="I48" s="83"/>
      <c r="J48" s="7"/>
      <c r="N48" s="57"/>
    </row>
    <row r="49" spans="2:14" x14ac:dyDescent="0.2">
      <c r="B49" s="14"/>
      <c r="C49" s="11"/>
      <c r="D49" s="11"/>
      <c r="E49" s="11"/>
      <c r="F49" s="11"/>
      <c r="G49" s="15"/>
      <c r="I49" s="7"/>
      <c r="J49" s="7"/>
      <c r="N49" s="57"/>
    </row>
    <row r="50" spans="2:14" ht="15.75" thickBot="1" x14ac:dyDescent="0.3">
      <c r="B50" s="14"/>
      <c r="C50" s="30" t="s">
        <v>19</v>
      </c>
      <c r="D50" s="11"/>
      <c r="E50" s="11"/>
      <c r="F50" s="11"/>
      <c r="G50" s="15">
        <v>34039.870000000003</v>
      </c>
      <c r="I50" s="83"/>
      <c r="J50" s="7"/>
      <c r="M50" s="87" t="s">
        <v>46</v>
      </c>
      <c r="N50" s="57"/>
    </row>
    <row r="51" spans="2:14" ht="15.75" thickTop="1" x14ac:dyDescent="0.25">
      <c r="B51" s="14"/>
      <c r="C51" s="11"/>
      <c r="D51" s="11"/>
      <c r="E51" s="11"/>
      <c r="F51" s="11"/>
      <c r="G51" s="15"/>
      <c r="I51" s="7"/>
      <c r="J51" s="7"/>
      <c r="M51" s="86" t="s">
        <v>45</v>
      </c>
      <c r="N51" s="81">
        <v>-131938.66</v>
      </c>
    </row>
    <row r="52" spans="2:14" x14ac:dyDescent="0.2">
      <c r="B52" s="14"/>
      <c r="C52" s="30" t="s">
        <v>20</v>
      </c>
      <c r="D52" s="11"/>
      <c r="E52" s="11"/>
      <c r="F52" s="11"/>
      <c r="G52" s="15">
        <f>G44-SUM(G45:G51)</f>
        <v>129555.39000000001</v>
      </c>
      <c r="H52" s="11"/>
      <c r="I52" s="7"/>
      <c r="N52" s="57"/>
    </row>
    <row r="53" spans="2:14" x14ac:dyDescent="0.2">
      <c r="B53" s="14"/>
      <c r="C53" s="30"/>
      <c r="D53" s="11"/>
      <c r="E53" s="11"/>
      <c r="F53" s="11"/>
      <c r="G53" s="15"/>
      <c r="H53" s="11"/>
      <c r="I53" s="7"/>
      <c r="N53" s="57"/>
    </row>
    <row r="54" spans="2:14" ht="13.5" thickBot="1" x14ac:dyDescent="0.25">
      <c r="B54" s="14"/>
      <c r="C54" s="11"/>
      <c r="D54" s="11"/>
      <c r="E54" s="11"/>
      <c r="F54" s="11"/>
      <c r="G54" s="15"/>
      <c r="H54" s="11"/>
      <c r="I54" s="11"/>
      <c r="J54" s="7"/>
      <c r="M54" t="s">
        <v>44</v>
      </c>
      <c r="N54" s="85">
        <v>-117747.16</v>
      </c>
    </row>
    <row r="55" spans="2:14" ht="15.75" thickTop="1" x14ac:dyDescent="0.25">
      <c r="B55" s="10" t="s">
        <v>43</v>
      </c>
      <c r="C55" s="11"/>
      <c r="D55" s="11"/>
      <c r="E55" s="11"/>
      <c r="F55" s="11"/>
      <c r="G55" s="45">
        <v>-8651.4699999999993</v>
      </c>
      <c r="I55" s="83"/>
      <c r="N55" s="81">
        <f>SUM(N54:N54)</f>
        <v>-117747.16</v>
      </c>
    </row>
    <row r="56" spans="2:14" ht="15.75" thickBot="1" x14ac:dyDescent="0.3">
      <c r="B56" s="31" t="s">
        <v>18</v>
      </c>
      <c r="C56" s="17"/>
      <c r="D56" s="17"/>
      <c r="E56" s="68"/>
      <c r="F56" s="17"/>
      <c r="G56" s="46">
        <v>-5549.96</v>
      </c>
      <c r="I56" s="83"/>
      <c r="J56" s="7"/>
      <c r="N56" s="57"/>
    </row>
    <row r="57" spans="2:14" ht="13.5" thickBot="1" x14ac:dyDescent="0.25">
      <c r="N57" s="57"/>
    </row>
    <row r="58" spans="2:14" x14ac:dyDescent="0.2">
      <c r="B58" s="69" t="s">
        <v>38</v>
      </c>
      <c r="C58" s="8"/>
      <c r="D58" s="8"/>
      <c r="E58" s="8"/>
      <c r="F58" s="8"/>
      <c r="G58" s="9"/>
      <c r="N58" s="57"/>
    </row>
    <row r="59" spans="2:14" ht="15" x14ac:dyDescent="0.25">
      <c r="B59" s="14" t="s">
        <v>39</v>
      </c>
      <c r="C59" s="11"/>
      <c r="D59" s="11"/>
      <c r="E59" s="11"/>
      <c r="F59" s="11"/>
      <c r="G59" s="15">
        <v>11872.57</v>
      </c>
      <c r="I59" s="83"/>
      <c r="N59" s="57"/>
    </row>
    <row r="60" spans="2:14" ht="15" x14ac:dyDescent="0.25">
      <c r="B60" s="14" t="s">
        <v>40</v>
      </c>
      <c r="C60" s="11"/>
      <c r="D60" s="11"/>
      <c r="E60" s="11"/>
      <c r="F60" s="11"/>
      <c r="G60" s="16">
        <f>G61-G59</f>
        <v>378710.47</v>
      </c>
      <c r="I60" s="83"/>
      <c r="N60" s="57"/>
    </row>
    <row r="61" spans="2:14" ht="15.75" thickBot="1" x14ac:dyDescent="0.3">
      <c r="B61" s="31" t="s">
        <v>41</v>
      </c>
      <c r="C61" s="17"/>
      <c r="D61" s="17"/>
      <c r="E61" s="17"/>
      <c r="F61" s="17"/>
      <c r="G61" s="46">
        <v>390583.03999999998</v>
      </c>
      <c r="I61" s="84"/>
      <c r="N61" s="57"/>
    </row>
    <row r="62" spans="2:14" ht="13.5" thickBot="1" x14ac:dyDescent="0.25">
      <c r="N62" s="57"/>
    </row>
    <row r="63" spans="2:14" ht="15.75" x14ac:dyDescent="0.25">
      <c r="B63" s="32" t="s">
        <v>36</v>
      </c>
      <c r="C63" s="27"/>
      <c r="D63" s="27"/>
      <c r="E63" s="40"/>
      <c r="F63" s="41"/>
      <c r="N63" s="57"/>
    </row>
    <row r="64" spans="2:14" x14ac:dyDescent="0.2">
      <c r="B64" s="14"/>
      <c r="C64" s="39"/>
      <c r="D64" s="39"/>
      <c r="E64" s="7"/>
      <c r="F64" s="15"/>
      <c r="N64" s="57"/>
    </row>
    <row r="65" spans="2:14" x14ac:dyDescent="0.2">
      <c r="B65" s="10" t="s">
        <v>32</v>
      </c>
      <c r="C65" s="39"/>
      <c r="D65" s="39"/>
      <c r="E65" s="7">
        <f>E68-E67-E66</f>
        <v>166479.46000000002</v>
      </c>
      <c r="F65" s="15"/>
      <c r="I65" s="36"/>
      <c r="N65" s="57"/>
    </row>
    <row r="66" spans="2:14" ht="15" x14ac:dyDescent="0.25">
      <c r="B66" s="10" t="s">
        <v>23</v>
      </c>
      <c r="C66" s="39"/>
      <c r="D66" s="39"/>
      <c r="E66" s="7">
        <v>29456.799999999999</v>
      </c>
      <c r="F66" s="15"/>
      <c r="I66" s="83"/>
      <c r="N66" s="57"/>
    </row>
    <row r="67" spans="2:14" ht="15" x14ac:dyDescent="0.25">
      <c r="B67" s="10" t="s">
        <v>31</v>
      </c>
      <c r="C67" s="39"/>
      <c r="D67" s="39"/>
      <c r="E67" s="2">
        <v>72836.31</v>
      </c>
      <c r="F67" s="15"/>
      <c r="G67" s="83"/>
      <c r="I67" s="83"/>
      <c r="N67" s="57"/>
    </row>
    <row r="68" spans="2:14" ht="15.75" thickBot="1" x14ac:dyDescent="0.3">
      <c r="B68" s="31" t="s">
        <v>16</v>
      </c>
      <c r="C68" s="50"/>
      <c r="D68" s="50"/>
      <c r="E68" s="97">
        <v>268772.57</v>
      </c>
      <c r="F68" s="51"/>
      <c r="I68" s="84"/>
    </row>
    <row r="76" spans="2:14" ht="8.4499999999999993" customHeight="1" x14ac:dyDescent="0.2"/>
  </sheetData>
  <mergeCells count="4">
    <mergeCell ref="C6:E6"/>
    <mergeCell ref="F6:H6"/>
    <mergeCell ref="C7:E7"/>
    <mergeCell ref="F7:H7"/>
  </mergeCells>
  <pageMargins left="0.25" right="0.25" top="0.25" bottom="0.25" header="0.5" footer="0.5"/>
  <pageSetup scale="78" orientation="portrait" horizontalDpi="4294967293" verticalDpi="4294967293" r:id="rId1"/>
  <headerFooter alignWithMargins="0"/>
  <ignoredErrors>
    <ignoredError sqref="E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32"/>
  <sheetViews>
    <sheetView workbookViewId="0">
      <selection activeCell="M40" sqref="M40"/>
    </sheetView>
  </sheetViews>
  <sheetFormatPr defaultRowHeight="12.75" x14ac:dyDescent="0.2"/>
  <cols>
    <col min="3" max="3" width="10" bestFit="1" customWidth="1"/>
    <col min="4" max="4" width="12.28515625" bestFit="1" customWidth="1"/>
    <col min="5" max="5" width="11.7109375" bestFit="1" customWidth="1"/>
    <col min="6" max="6" width="13.5703125" bestFit="1" customWidth="1"/>
    <col min="12" max="12" width="12.28515625" bestFit="1" customWidth="1"/>
  </cols>
  <sheetData>
    <row r="1" spans="3:8" x14ac:dyDescent="0.2">
      <c r="E1" t="s">
        <v>70</v>
      </c>
    </row>
    <row r="2" spans="3:8" x14ac:dyDescent="0.2">
      <c r="D2" s="182"/>
      <c r="E2" s="181"/>
      <c r="F2" s="181"/>
    </row>
    <row r="3" spans="3:8" x14ac:dyDescent="0.2">
      <c r="D3" s="87" t="s">
        <v>71</v>
      </c>
      <c r="E3" s="87" t="s">
        <v>72</v>
      </c>
      <c r="F3" s="87" t="s">
        <v>73</v>
      </c>
    </row>
    <row r="4" spans="3:8" ht="15" x14ac:dyDescent="0.25">
      <c r="C4" s="87" t="s">
        <v>51</v>
      </c>
      <c r="D4" s="36">
        <f>'7.14'!C33</f>
        <v>97730.18</v>
      </c>
      <c r="E4" s="36">
        <f>'7.14'!D33</f>
        <v>114960.22</v>
      </c>
      <c r="F4" s="101">
        <v>112969.61</v>
      </c>
    </row>
    <row r="5" spans="3:8" ht="15" x14ac:dyDescent="0.25">
      <c r="C5" s="87" t="s">
        <v>59</v>
      </c>
      <c r="D5" s="36">
        <f>'8.14'!C32+D4</f>
        <v>201652.76</v>
      </c>
      <c r="E5" s="36">
        <f>'8.14'!D32+E4</f>
        <v>236863.39</v>
      </c>
      <c r="F5" s="101">
        <v>225390.16</v>
      </c>
    </row>
    <row r="6" spans="3:8" ht="15" x14ac:dyDescent="0.25">
      <c r="C6" s="87" t="s">
        <v>60</v>
      </c>
      <c r="D6" s="36" t="e">
        <f>#REF!</f>
        <v>#REF!</v>
      </c>
      <c r="E6" s="99">
        <f>130668.33+E5</f>
        <v>367531.72000000003</v>
      </c>
      <c r="F6" s="101">
        <v>346029.38</v>
      </c>
    </row>
    <row r="7" spans="3:8" ht="15" x14ac:dyDescent="0.25">
      <c r="C7" s="87" t="s">
        <v>61</v>
      </c>
      <c r="E7" s="99">
        <f>130337.29+E6</f>
        <v>497869.01</v>
      </c>
      <c r="F7" s="101">
        <v>510414.77</v>
      </c>
      <c r="G7" s="36"/>
      <c r="H7" s="36"/>
    </row>
    <row r="8" spans="3:8" ht="15" x14ac:dyDescent="0.25">
      <c r="C8" s="87" t="s">
        <v>62</v>
      </c>
      <c r="E8" s="99">
        <f>132441.2+E7</f>
        <v>630310.21</v>
      </c>
      <c r="F8" s="101">
        <v>619363.74</v>
      </c>
      <c r="G8" s="36"/>
      <c r="H8" s="36"/>
    </row>
    <row r="9" spans="3:8" ht="15" x14ac:dyDescent="0.25">
      <c r="C9" s="87" t="s">
        <v>63</v>
      </c>
      <c r="E9" s="99">
        <f>147350.59+E8</f>
        <v>777660.79999999993</v>
      </c>
      <c r="F9" s="101">
        <v>764474.98</v>
      </c>
      <c r="G9" s="36"/>
      <c r="H9" s="36"/>
    </row>
    <row r="10" spans="3:8" ht="15" x14ac:dyDescent="0.25">
      <c r="C10" s="87" t="s">
        <v>64</v>
      </c>
      <c r="E10" s="99">
        <f>125569.01+E9</f>
        <v>903229.80999999994</v>
      </c>
      <c r="F10" s="101">
        <v>897179.74</v>
      </c>
    </row>
    <row r="11" spans="3:8" ht="15" x14ac:dyDescent="0.25">
      <c r="C11" s="87" t="s">
        <v>65</v>
      </c>
      <c r="E11" s="99">
        <f>134818.82+E10</f>
        <v>1038048.6299999999</v>
      </c>
      <c r="F11" s="101">
        <v>1039794.8</v>
      </c>
    </row>
    <row r="12" spans="3:8" ht="15" x14ac:dyDescent="0.25">
      <c r="C12" s="87" t="s">
        <v>66</v>
      </c>
      <c r="E12" s="99">
        <f>135468.22+E11</f>
        <v>1173516.8499999999</v>
      </c>
      <c r="F12" s="101">
        <v>1164990.92</v>
      </c>
    </row>
    <row r="13" spans="3:8" ht="15" x14ac:dyDescent="0.25">
      <c r="C13" s="87" t="s">
        <v>67</v>
      </c>
      <c r="E13" s="99">
        <f>126982.81+E12</f>
        <v>1300499.6599999999</v>
      </c>
      <c r="F13" s="101">
        <v>1314583.4099999999</v>
      </c>
    </row>
    <row r="14" spans="3:8" ht="15" x14ac:dyDescent="0.25">
      <c r="C14" s="87" t="s">
        <v>68</v>
      </c>
      <c r="E14" s="99">
        <f>126850.24+E13</f>
        <v>1427349.9</v>
      </c>
      <c r="F14" s="101">
        <v>1457548.34</v>
      </c>
    </row>
    <row r="15" spans="3:8" ht="15" x14ac:dyDescent="0.25">
      <c r="C15" s="87" t="s">
        <v>69</v>
      </c>
      <c r="E15" s="99">
        <f>131250.1+E14</f>
        <v>1558600</v>
      </c>
      <c r="F15" s="101">
        <v>1583220.42</v>
      </c>
    </row>
    <row r="19" spans="3:6" x14ac:dyDescent="0.2">
      <c r="D19" s="181" t="s">
        <v>58</v>
      </c>
      <c r="E19" s="181"/>
      <c r="F19" s="181"/>
    </row>
    <row r="20" spans="3:6" x14ac:dyDescent="0.2">
      <c r="D20" t="s">
        <v>71</v>
      </c>
      <c r="E20" t="s">
        <v>72</v>
      </c>
      <c r="F20" t="s">
        <v>73</v>
      </c>
    </row>
    <row r="21" spans="3:6" x14ac:dyDescent="0.2">
      <c r="C21" s="87" t="s">
        <v>51</v>
      </c>
      <c r="D21" s="36">
        <f>'7.14'!C32</f>
        <v>90687.4</v>
      </c>
      <c r="E21" s="36">
        <f>'7.14'!D32</f>
        <v>104498.06</v>
      </c>
      <c r="F21" s="36">
        <f>'7.14'!H32</f>
        <v>103243.84000000001</v>
      </c>
    </row>
    <row r="22" spans="3:6" x14ac:dyDescent="0.2">
      <c r="C22" s="87" t="s">
        <v>59</v>
      </c>
      <c r="D22" s="36">
        <f>'8.14'!E31</f>
        <v>183947.54</v>
      </c>
      <c r="E22" s="36">
        <f>'8.14'!D31+E21</f>
        <v>216132.47999999998</v>
      </c>
      <c r="F22" s="36">
        <f>'8.14'!I31</f>
        <v>229475.23</v>
      </c>
    </row>
    <row r="23" spans="3:6" ht="15" x14ac:dyDescent="0.25">
      <c r="C23" s="87" t="s">
        <v>60</v>
      </c>
      <c r="D23" s="36" t="e">
        <f>#REF!</f>
        <v>#REF!</v>
      </c>
      <c r="E23" s="100">
        <f>133252.99+E22</f>
        <v>349385.47</v>
      </c>
      <c r="F23" s="36" t="e">
        <f>#REF!</f>
        <v>#REF!</v>
      </c>
    </row>
    <row r="24" spans="3:6" ht="15" x14ac:dyDescent="0.25">
      <c r="C24" s="87" t="s">
        <v>61</v>
      </c>
      <c r="E24" s="100">
        <f>122065.61+E23</f>
        <v>471451.07999999996</v>
      </c>
      <c r="F24" s="36">
        <v>449965.79</v>
      </c>
    </row>
    <row r="25" spans="3:6" ht="15" x14ac:dyDescent="0.25">
      <c r="C25" s="87" t="s">
        <v>62</v>
      </c>
      <c r="E25" s="100">
        <f>115676.71+E24</f>
        <v>587127.78999999992</v>
      </c>
      <c r="F25" s="36">
        <v>579143.31999999995</v>
      </c>
    </row>
    <row r="26" spans="3:6" ht="15" x14ac:dyDescent="0.25">
      <c r="C26" s="87" t="s">
        <v>63</v>
      </c>
      <c r="E26" s="100">
        <f>214722.07+E25</f>
        <v>801849.85999999987</v>
      </c>
      <c r="F26" s="36">
        <v>801095.03</v>
      </c>
    </row>
    <row r="27" spans="3:6" ht="15" x14ac:dyDescent="0.25">
      <c r="C27" s="87" t="s">
        <v>64</v>
      </c>
      <c r="E27" s="100">
        <f>113912.76+E26</f>
        <v>915762.61999999988</v>
      </c>
      <c r="F27" s="36">
        <v>907642.3</v>
      </c>
    </row>
    <row r="28" spans="3:6" ht="15" x14ac:dyDescent="0.25">
      <c r="C28" s="87" t="s">
        <v>65</v>
      </c>
      <c r="E28" s="100">
        <f>121047.23+E27</f>
        <v>1036809.8499999999</v>
      </c>
      <c r="F28" s="36">
        <v>994452.93</v>
      </c>
    </row>
    <row r="29" spans="3:6" ht="15" x14ac:dyDescent="0.25">
      <c r="C29" s="87" t="s">
        <v>66</v>
      </c>
      <c r="E29" s="100">
        <f>136127.63+E28</f>
        <v>1172937.48</v>
      </c>
      <c r="F29" s="36">
        <v>1121008.69</v>
      </c>
    </row>
    <row r="30" spans="3:6" ht="15" x14ac:dyDescent="0.25">
      <c r="C30" s="87" t="s">
        <v>67</v>
      </c>
      <c r="E30" s="100">
        <f>151097.89+E29</f>
        <v>1324035.3700000001</v>
      </c>
      <c r="F30" s="36">
        <v>1268719.56</v>
      </c>
    </row>
    <row r="31" spans="3:6" ht="15" x14ac:dyDescent="0.25">
      <c r="C31" s="87" t="s">
        <v>68</v>
      </c>
      <c r="E31" s="100">
        <f>118952.32+E30</f>
        <v>1442987.6900000002</v>
      </c>
      <c r="F31" s="36">
        <v>1369620.61</v>
      </c>
    </row>
    <row r="32" spans="3:6" ht="15" x14ac:dyDescent="0.25">
      <c r="C32" s="87" t="s">
        <v>69</v>
      </c>
      <c r="E32" s="100">
        <f>115612.31+E31</f>
        <v>1558600.0000000002</v>
      </c>
      <c r="F32" s="36">
        <v>1537573.85</v>
      </c>
    </row>
  </sheetData>
  <mergeCells count="2">
    <mergeCell ref="D19:F19"/>
    <mergeCell ref="D2:F2"/>
  </mergeCells>
  <pageMargins left="0.5" right="0.25" top="0.75" bottom="0.25" header="0.3" footer="0.3"/>
  <pageSetup scale="98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9"/>
  <sheetViews>
    <sheetView tabSelected="1" zoomScaleNormal="100" workbookViewId="0">
      <selection activeCell="A2" sqref="A2"/>
    </sheetView>
  </sheetViews>
  <sheetFormatPr defaultRowHeight="12.75" x14ac:dyDescent="0.2"/>
  <cols>
    <col min="1" max="1" width="9.28515625" customWidth="1"/>
    <col min="2" max="2" width="19.5703125" customWidth="1"/>
    <col min="3" max="3" width="10.5703125" customWidth="1"/>
    <col min="4" max="4" width="10.28515625" customWidth="1"/>
    <col min="5" max="5" width="11.85546875" bestFit="1" customWidth="1"/>
    <col min="6" max="6" width="11" customWidth="1"/>
    <col min="7" max="7" width="11.140625" customWidth="1"/>
    <col min="8" max="8" width="11.42578125" customWidth="1"/>
    <col min="9" max="9" width="11.140625" customWidth="1"/>
    <col min="10" max="10" width="2.5703125" customWidth="1"/>
    <col min="11" max="11" width="14" bestFit="1" customWidth="1"/>
    <col min="12" max="12" width="3.5703125" customWidth="1"/>
    <col min="13" max="13" width="33.5703125" hidden="1" customWidth="1"/>
    <col min="14" max="14" width="12.5703125" hidden="1" customWidth="1"/>
    <col min="15" max="15" width="10.140625" bestFit="1" customWidth="1"/>
    <col min="16" max="16" width="11" style="1" bestFit="1" customWidth="1"/>
    <col min="17" max="17" width="2.7109375" customWidth="1"/>
    <col min="18" max="18" width="10.140625" bestFit="1" customWidth="1"/>
    <col min="19" max="19" width="11.7109375" bestFit="1" customWidth="1"/>
  </cols>
  <sheetData>
    <row r="1" spans="2:16" x14ac:dyDescent="0.2">
      <c r="N1" s="47"/>
      <c r="O1" s="48"/>
    </row>
    <row r="2" spans="2:16" s="122" customFormat="1" ht="18" customHeight="1" x14ac:dyDescent="0.2">
      <c r="B2" s="121" t="s">
        <v>0</v>
      </c>
      <c r="G2" s="123"/>
      <c r="H2" s="123"/>
      <c r="P2" s="124"/>
    </row>
    <row r="3" spans="2:16" ht="23.25" customHeight="1" x14ac:dyDescent="0.6">
      <c r="B3" s="33" t="s">
        <v>104</v>
      </c>
      <c r="G3" s="120"/>
      <c r="H3" s="120"/>
    </row>
    <row r="4" spans="2:16" ht="10.15" customHeight="1" x14ac:dyDescent="0.25">
      <c r="B4" s="33"/>
    </row>
    <row r="5" spans="2:16" ht="10.15" customHeight="1" x14ac:dyDescent="0.25">
      <c r="B5" s="33"/>
    </row>
    <row r="6" spans="2:16" ht="10.15" customHeight="1" x14ac:dyDescent="0.25">
      <c r="B6" s="33"/>
    </row>
    <row r="7" spans="2:16" ht="13.5" thickBot="1" x14ac:dyDescent="0.25">
      <c r="I7" s="93"/>
      <c r="N7" s="36"/>
    </row>
    <row r="8" spans="2:16" ht="15.75" x14ac:dyDescent="0.25">
      <c r="B8" s="185" t="s">
        <v>93</v>
      </c>
      <c r="C8" s="186"/>
      <c r="D8" s="186"/>
      <c r="E8" s="186"/>
      <c r="F8" s="186"/>
      <c r="G8" s="187"/>
      <c r="H8" s="188" t="s">
        <v>78</v>
      </c>
      <c r="I8" s="189"/>
    </row>
    <row r="9" spans="2:16" x14ac:dyDescent="0.2">
      <c r="B9" s="10"/>
      <c r="C9" s="11"/>
      <c r="D9" s="66"/>
      <c r="E9" s="11"/>
      <c r="F9" s="13"/>
      <c r="G9" s="3"/>
      <c r="H9" s="13">
        <v>2016</v>
      </c>
      <c r="I9" s="43" t="s">
        <v>92</v>
      </c>
    </row>
    <row r="10" spans="2:16" x14ac:dyDescent="0.2">
      <c r="B10" s="61"/>
      <c r="C10" s="126" t="s">
        <v>105</v>
      </c>
      <c r="D10" s="127" t="s">
        <v>105</v>
      </c>
      <c r="E10" s="13" t="s">
        <v>13</v>
      </c>
      <c r="F10" s="65" t="s">
        <v>13</v>
      </c>
      <c r="G10" s="6" t="s">
        <v>13</v>
      </c>
      <c r="H10" s="126" t="s">
        <v>105</v>
      </c>
      <c r="I10" s="12" t="s">
        <v>13</v>
      </c>
    </row>
    <row r="11" spans="2:16" x14ac:dyDescent="0.2">
      <c r="B11" s="14"/>
      <c r="C11" s="21" t="s">
        <v>1</v>
      </c>
      <c r="D11" s="34" t="s">
        <v>79</v>
      </c>
      <c r="E11" s="21" t="s">
        <v>1</v>
      </c>
      <c r="F11" s="21" t="s">
        <v>79</v>
      </c>
      <c r="G11" s="34" t="s">
        <v>2</v>
      </c>
      <c r="H11" s="21" t="s">
        <v>1</v>
      </c>
      <c r="I11" s="23" t="s">
        <v>1</v>
      </c>
    </row>
    <row r="12" spans="2:16" x14ac:dyDescent="0.2">
      <c r="B12" s="14"/>
      <c r="C12" s="21"/>
      <c r="D12" s="34"/>
      <c r="E12" s="21"/>
      <c r="F12" s="7"/>
      <c r="G12" s="34"/>
      <c r="H12" s="21"/>
      <c r="I12" s="23"/>
    </row>
    <row r="13" spans="2:16" x14ac:dyDescent="0.2">
      <c r="B13" s="14" t="s">
        <v>91</v>
      </c>
      <c r="C13" s="7">
        <v>134850.97</v>
      </c>
      <c r="D13" s="4">
        <v>141547.95000000001</v>
      </c>
      <c r="E13" s="7">
        <v>863879.06</v>
      </c>
      <c r="F13" s="7">
        <v>897035.49</v>
      </c>
      <c r="G13" s="88">
        <f>E13-F13</f>
        <v>-33156.429999999935</v>
      </c>
      <c r="H13" s="7">
        <v>133173.07999999999</v>
      </c>
      <c r="I13" s="15">
        <v>833271.73</v>
      </c>
      <c r="K13" s="146"/>
      <c r="N13" s="36"/>
    </row>
    <row r="14" spans="2:16" x14ac:dyDescent="0.2">
      <c r="B14" s="106" t="s">
        <v>34</v>
      </c>
      <c r="C14" s="63">
        <v>6182.89</v>
      </c>
      <c r="D14" s="119">
        <v>6756.08</v>
      </c>
      <c r="E14" s="63">
        <v>45735.32</v>
      </c>
      <c r="F14" s="91">
        <v>49352.76</v>
      </c>
      <c r="G14" s="64">
        <f>E14-F14</f>
        <v>-3617.4400000000023</v>
      </c>
      <c r="H14" s="63">
        <v>7010.25</v>
      </c>
      <c r="I14" s="94">
        <v>57196.61</v>
      </c>
      <c r="J14" s="11"/>
      <c r="O14" s="7"/>
    </row>
    <row r="15" spans="2:16" x14ac:dyDescent="0.2">
      <c r="B15" s="105" t="s">
        <v>35</v>
      </c>
      <c r="C15" s="7">
        <f>SUM(C13:C14)</f>
        <v>141033.86000000002</v>
      </c>
      <c r="D15" s="4">
        <f>SUM(D13:D14)</f>
        <v>148304.03</v>
      </c>
      <c r="E15" s="7">
        <f>SUM(E13:E14)</f>
        <v>909614.38</v>
      </c>
      <c r="F15" s="7">
        <f>F13+F14</f>
        <v>946388.25</v>
      </c>
      <c r="G15" s="67">
        <f>E15-F15</f>
        <v>-36773.869999999995</v>
      </c>
      <c r="H15" s="7">
        <f>SUM(H13:H14)</f>
        <v>140183.32999999999</v>
      </c>
      <c r="I15" s="15">
        <f>SUM(I13:I14)</f>
        <v>890468.34</v>
      </c>
      <c r="J15" s="13"/>
      <c r="K15" s="36"/>
      <c r="M15" s="36"/>
      <c r="O15" s="7"/>
    </row>
    <row r="16" spans="2:16" x14ac:dyDescent="0.2">
      <c r="B16" s="10" t="s">
        <v>21</v>
      </c>
      <c r="C16" s="2">
        <v>127357.05</v>
      </c>
      <c r="D16" s="5">
        <v>142788.03</v>
      </c>
      <c r="E16" s="2">
        <v>909513.01</v>
      </c>
      <c r="F16" s="2">
        <v>925666.08</v>
      </c>
      <c r="G16" s="5">
        <f>E16-F16</f>
        <v>-16153.069999999949</v>
      </c>
      <c r="H16" s="2">
        <v>125731.25</v>
      </c>
      <c r="I16" s="16">
        <v>847162.94</v>
      </c>
      <c r="J16" s="13"/>
      <c r="K16" s="36"/>
      <c r="O16" s="7"/>
    </row>
    <row r="17" spans="2:19" x14ac:dyDescent="0.2">
      <c r="B17" s="10"/>
      <c r="C17" s="7"/>
      <c r="D17" s="4"/>
      <c r="E17" s="7"/>
      <c r="F17" s="44"/>
      <c r="G17" s="4"/>
      <c r="H17" s="7"/>
      <c r="I17" s="95"/>
      <c r="J17" s="21"/>
      <c r="O17" s="7"/>
      <c r="Q17" s="1"/>
      <c r="S17" s="44"/>
    </row>
    <row r="18" spans="2:19" x14ac:dyDescent="0.2">
      <c r="B18" s="10" t="s">
        <v>4</v>
      </c>
      <c r="C18" s="7">
        <f t="shared" ref="C18:I18" si="0">C15-C16</f>
        <v>13676.810000000012</v>
      </c>
      <c r="D18" s="4">
        <f t="shared" si="0"/>
        <v>5516</v>
      </c>
      <c r="E18" s="70">
        <f t="shared" si="0"/>
        <v>101.36999999999534</v>
      </c>
      <c r="F18" s="7">
        <f t="shared" si="0"/>
        <v>20722.170000000042</v>
      </c>
      <c r="G18" s="4">
        <f t="shared" si="0"/>
        <v>-20620.800000000047</v>
      </c>
      <c r="H18" s="7">
        <f t="shared" si="0"/>
        <v>14452.079999999987</v>
      </c>
      <c r="I18" s="15">
        <f t="shared" si="0"/>
        <v>43305.400000000023</v>
      </c>
      <c r="J18" s="13"/>
      <c r="K18" s="56"/>
      <c r="O18" s="7"/>
      <c r="Q18" s="1"/>
      <c r="S18" s="44"/>
    </row>
    <row r="19" spans="2:19" ht="13.5" thickBot="1" x14ac:dyDescent="0.25">
      <c r="B19" s="31"/>
      <c r="C19" s="17"/>
      <c r="D19" s="20"/>
      <c r="E19" s="17"/>
      <c r="F19" s="17"/>
      <c r="G19" s="20"/>
      <c r="H19" s="17"/>
      <c r="I19" s="18"/>
      <c r="J19" s="7"/>
      <c r="O19" s="11"/>
      <c r="Q19" s="1"/>
      <c r="S19" s="44"/>
    </row>
    <row r="20" spans="2:19" x14ac:dyDescent="0.2">
      <c r="B20" s="39"/>
      <c r="C20" s="11"/>
      <c r="D20" s="11"/>
      <c r="E20" s="11"/>
      <c r="F20" s="11"/>
      <c r="G20" s="11"/>
      <c r="H20" s="11"/>
      <c r="I20" s="11"/>
      <c r="J20" s="7"/>
      <c r="Q20" s="1"/>
      <c r="S20" s="44"/>
    </row>
    <row r="21" spans="2:19" ht="18.75" thickBot="1" x14ac:dyDescent="0.3">
      <c r="B21" s="33"/>
      <c r="C21" s="7"/>
      <c r="D21" s="11"/>
      <c r="E21" s="11"/>
      <c r="F21" s="11"/>
      <c r="G21" s="11"/>
      <c r="H21" s="11"/>
      <c r="I21" s="114"/>
      <c r="N21" s="57"/>
    </row>
    <row r="22" spans="2:19" ht="15.75" x14ac:dyDescent="0.25">
      <c r="B22" s="185" t="s">
        <v>94</v>
      </c>
      <c r="C22" s="186"/>
      <c r="D22" s="186"/>
      <c r="E22" s="186"/>
      <c r="F22" s="187"/>
      <c r="G22" s="188" t="s">
        <v>78</v>
      </c>
      <c r="H22" s="189"/>
      <c r="I22" s="11"/>
      <c r="J22" s="7"/>
      <c r="Q22" s="1"/>
      <c r="S22" s="44"/>
    </row>
    <row r="23" spans="2:19" ht="15.75" x14ac:dyDescent="0.25">
      <c r="B23" s="167"/>
      <c r="C23" s="194" t="s">
        <v>106</v>
      </c>
      <c r="D23" s="194"/>
      <c r="E23" s="190" t="s">
        <v>107</v>
      </c>
      <c r="F23" s="191"/>
      <c r="G23" s="192" t="s">
        <v>108</v>
      </c>
      <c r="H23" s="193"/>
      <c r="I23" s="11"/>
      <c r="J23" s="7"/>
      <c r="Q23" s="1"/>
      <c r="S23" s="44"/>
    </row>
    <row r="24" spans="2:19" x14ac:dyDescent="0.2">
      <c r="B24" s="162"/>
      <c r="C24" s="163" t="s">
        <v>81</v>
      </c>
      <c r="D24" s="169" t="s">
        <v>84</v>
      </c>
      <c r="E24" s="170" t="s">
        <v>81</v>
      </c>
      <c r="F24" s="169" t="s">
        <v>84</v>
      </c>
      <c r="G24" s="163" t="s">
        <v>81</v>
      </c>
      <c r="H24" s="168" t="s">
        <v>84</v>
      </c>
      <c r="I24" s="1"/>
      <c r="K24" s="44"/>
      <c r="P24"/>
    </row>
    <row r="25" spans="2:19" x14ac:dyDescent="0.2">
      <c r="B25" s="162"/>
      <c r="C25" s="161"/>
      <c r="D25" s="161"/>
      <c r="E25" s="170"/>
      <c r="F25" s="169"/>
      <c r="G25" s="163"/>
      <c r="H25" s="168"/>
      <c r="I25" s="1"/>
      <c r="K25" s="44"/>
      <c r="P25"/>
    </row>
    <row r="26" spans="2:19" x14ac:dyDescent="0.2">
      <c r="B26" s="160" t="s">
        <v>83</v>
      </c>
      <c r="C26" s="164">
        <v>469</v>
      </c>
      <c r="D26" s="171">
        <v>264.99</v>
      </c>
      <c r="E26" s="164">
        <v>730</v>
      </c>
      <c r="F26" s="171">
        <v>1057.9000000000001</v>
      </c>
      <c r="G26" s="164">
        <v>767</v>
      </c>
      <c r="H26" s="159">
        <v>1040.69</v>
      </c>
      <c r="K26" s="144"/>
      <c r="P26"/>
    </row>
    <row r="27" spans="2:19" x14ac:dyDescent="0.2">
      <c r="B27" s="160" t="s">
        <v>82</v>
      </c>
      <c r="C27" s="164">
        <v>93</v>
      </c>
      <c r="D27" s="171">
        <v>85.32</v>
      </c>
      <c r="E27" s="164">
        <v>144</v>
      </c>
      <c r="F27" s="171">
        <v>404.93</v>
      </c>
      <c r="G27" s="164">
        <v>148</v>
      </c>
      <c r="H27" s="159">
        <v>332</v>
      </c>
      <c r="K27" s="145"/>
      <c r="P27"/>
    </row>
    <row r="28" spans="2:19" x14ac:dyDescent="0.2">
      <c r="B28" s="160" t="s">
        <v>102</v>
      </c>
      <c r="C28" s="164">
        <v>6</v>
      </c>
      <c r="D28" s="171">
        <v>73.33</v>
      </c>
      <c r="E28" s="164">
        <v>247</v>
      </c>
      <c r="F28" s="171">
        <v>143.57</v>
      </c>
      <c r="G28" s="164">
        <v>316</v>
      </c>
      <c r="H28" s="159">
        <v>157.44999999999999</v>
      </c>
      <c r="K28" s="144"/>
      <c r="P28"/>
    </row>
    <row r="29" spans="2:19" s="148" customFormat="1" x14ac:dyDescent="0.2">
      <c r="B29" s="160" t="s">
        <v>103</v>
      </c>
      <c r="C29" s="164">
        <v>17</v>
      </c>
      <c r="D29" s="171">
        <v>102.77</v>
      </c>
      <c r="E29" s="164">
        <v>117</v>
      </c>
      <c r="F29" s="171">
        <v>287.8</v>
      </c>
      <c r="G29" s="164">
        <v>120</v>
      </c>
      <c r="H29" s="159">
        <v>284.37</v>
      </c>
      <c r="K29" s="144"/>
    </row>
    <row r="30" spans="2:19" x14ac:dyDescent="0.2">
      <c r="B30" s="160" t="s">
        <v>99</v>
      </c>
      <c r="C30" s="164">
        <v>20</v>
      </c>
      <c r="D30" s="171">
        <v>48.5</v>
      </c>
      <c r="E30" s="164">
        <v>60</v>
      </c>
      <c r="F30" s="171">
        <v>111.33</v>
      </c>
      <c r="G30" s="164">
        <v>51</v>
      </c>
      <c r="H30" s="159">
        <v>1512.93</v>
      </c>
      <c r="K30" s="144"/>
      <c r="P30"/>
    </row>
    <row r="31" spans="2:19" x14ac:dyDescent="0.2">
      <c r="B31" s="160" t="s">
        <v>90</v>
      </c>
      <c r="C31" s="164">
        <v>1</v>
      </c>
      <c r="D31" s="171">
        <v>3000</v>
      </c>
      <c r="E31" s="164">
        <v>107</v>
      </c>
      <c r="F31" s="171">
        <v>394.35</v>
      </c>
      <c r="G31" s="164">
        <v>189</v>
      </c>
      <c r="H31" s="159">
        <v>210.72</v>
      </c>
      <c r="K31" s="145"/>
      <c r="P31"/>
    </row>
    <row r="32" spans="2:19" x14ac:dyDescent="0.2">
      <c r="B32" s="160" t="s">
        <v>100</v>
      </c>
      <c r="C32" s="164">
        <v>5</v>
      </c>
      <c r="D32" s="171">
        <v>35</v>
      </c>
      <c r="E32" s="164">
        <v>113</v>
      </c>
      <c r="F32" s="171">
        <v>53.14</v>
      </c>
      <c r="G32" s="164">
        <v>78</v>
      </c>
      <c r="H32" s="159">
        <v>55.57</v>
      </c>
      <c r="K32" s="145"/>
      <c r="P32"/>
    </row>
    <row r="33" spans="2:16" x14ac:dyDescent="0.2">
      <c r="B33" s="160" t="s">
        <v>9</v>
      </c>
      <c r="C33" s="164">
        <v>0</v>
      </c>
      <c r="D33" s="171">
        <v>0</v>
      </c>
      <c r="E33" s="164">
        <v>0</v>
      </c>
      <c r="F33" s="171">
        <v>0</v>
      </c>
      <c r="G33" s="164">
        <v>13</v>
      </c>
      <c r="H33" s="159">
        <v>284</v>
      </c>
      <c r="K33" s="144"/>
      <c r="P33"/>
    </row>
    <row r="34" spans="2:16" x14ac:dyDescent="0.2">
      <c r="B34" s="160"/>
      <c r="C34" s="161"/>
      <c r="D34" s="171"/>
      <c r="E34" s="161"/>
      <c r="F34" s="171"/>
      <c r="G34" s="161"/>
      <c r="H34" s="159"/>
      <c r="P34"/>
    </row>
    <row r="35" spans="2:16" ht="13.5" thickBot="1" x14ac:dyDescent="0.25">
      <c r="B35" s="166" t="s">
        <v>8</v>
      </c>
      <c r="C35" s="165">
        <v>483</v>
      </c>
      <c r="D35" s="172">
        <v>286.85000000000002</v>
      </c>
      <c r="E35" s="165">
        <v>833</v>
      </c>
      <c r="F35" s="172">
        <v>1145.26</v>
      </c>
      <c r="G35" s="165">
        <v>872</v>
      </c>
      <c r="H35" s="158">
        <v>1211.28</v>
      </c>
      <c r="P35"/>
    </row>
    <row r="36" spans="2:16" ht="15" x14ac:dyDescent="0.25">
      <c r="B36" s="142"/>
      <c r="C36" s="7"/>
      <c r="D36" s="11"/>
      <c r="E36" s="143"/>
      <c r="F36" s="11"/>
      <c r="G36" s="157"/>
      <c r="H36" s="157"/>
      <c r="I36" s="83"/>
      <c r="N36" s="57"/>
      <c r="P36"/>
    </row>
    <row r="37" spans="2:16" ht="15.75" thickBot="1" x14ac:dyDescent="0.3">
      <c r="B37" s="117"/>
      <c r="C37" s="7"/>
      <c r="D37" s="11"/>
      <c r="E37" s="11"/>
      <c r="F37" s="11"/>
      <c r="G37" s="11"/>
      <c r="H37" s="11"/>
      <c r="I37" s="114"/>
      <c r="N37" s="57"/>
      <c r="P37"/>
    </row>
    <row r="38" spans="2:16" ht="15.75" x14ac:dyDescent="0.25">
      <c r="B38" s="32" t="s">
        <v>109</v>
      </c>
      <c r="C38" s="27"/>
      <c r="D38" s="8"/>
      <c r="E38" s="8"/>
      <c r="F38" s="8"/>
      <c r="G38" s="28"/>
      <c r="H38" s="11"/>
      <c r="I38" s="83"/>
      <c r="N38" s="57"/>
      <c r="P38"/>
    </row>
    <row r="39" spans="2:16" ht="15" x14ac:dyDescent="0.25">
      <c r="B39" s="14"/>
      <c r="C39" s="11"/>
      <c r="D39" s="11"/>
      <c r="E39" s="11"/>
      <c r="F39" s="11"/>
      <c r="G39" s="29"/>
      <c r="H39" s="11"/>
      <c r="I39" s="84"/>
      <c r="N39" s="57"/>
      <c r="P39"/>
    </row>
    <row r="40" spans="2:16" ht="15" x14ac:dyDescent="0.25">
      <c r="B40" s="107" t="s">
        <v>77</v>
      </c>
      <c r="C40" s="11"/>
      <c r="D40" s="11"/>
      <c r="E40" s="11"/>
      <c r="F40" s="11"/>
      <c r="G40" s="104">
        <v>463989.19</v>
      </c>
      <c r="H40" s="11"/>
      <c r="I40" s="84"/>
      <c r="N40" s="57"/>
      <c r="P40"/>
    </row>
    <row r="41" spans="2:16" ht="15" x14ac:dyDescent="0.25">
      <c r="B41" s="14"/>
      <c r="C41" s="11"/>
      <c r="D41" s="11"/>
      <c r="E41" s="11"/>
      <c r="F41" s="11"/>
      <c r="G41" s="29"/>
      <c r="H41" s="11"/>
      <c r="I41" s="84"/>
      <c r="N41" s="57"/>
      <c r="P41"/>
    </row>
    <row r="42" spans="2:16" ht="15" x14ac:dyDescent="0.25">
      <c r="B42" s="107" t="s">
        <v>85</v>
      </c>
      <c r="C42" s="11"/>
      <c r="D42" s="11"/>
      <c r="E42" s="11"/>
      <c r="F42" s="11"/>
      <c r="G42" s="29"/>
      <c r="N42" s="57"/>
    </row>
    <row r="43" spans="2:16" x14ac:dyDescent="0.2">
      <c r="B43" s="14"/>
      <c r="C43" s="111" t="s">
        <v>6</v>
      </c>
      <c r="D43" s="11"/>
      <c r="E43" s="11"/>
      <c r="F43" s="102">
        <v>87852.08</v>
      </c>
      <c r="G43" s="26"/>
      <c r="N43" s="57"/>
    </row>
    <row r="44" spans="2:16" s="148" customFormat="1" x14ac:dyDescent="0.2">
      <c r="B44" s="151"/>
      <c r="C44" s="111" t="s">
        <v>96</v>
      </c>
      <c r="D44" s="150"/>
      <c r="E44" s="150"/>
      <c r="F44" s="102">
        <v>24560.32</v>
      </c>
      <c r="G44" s="152"/>
      <c r="N44" s="57"/>
      <c r="P44" s="149"/>
    </row>
    <row r="45" spans="2:16" s="148" customFormat="1" x14ac:dyDescent="0.2">
      <c r="B45" s="151"/>
      <c r="C45" s="111" t="s">
        <v>97</v>
      </c>
      <c r="D45" s="150"/>
      <c r="E45" s="150"/>
      <c r="F45" s="102">
        <v>29381.599999999999</v>
      </c>
      <c r="G45" s="152"/>
      <c r="N45" s="57"/>
      <c r="P45" s="149"/>
    </row>
    <row r="46" spans="2:16" x14ac:dyDescent="0.2">
      <c r="B46" s="14"/>
      <c r="C46" s="111" t="s">
        <v>22</v>
      </c>
      <c r="D46" s="11"/>
      <c r="E46" s="11"/>
      <c r="F46" s="102">
        <v>96283.92</v>
      </c>
      <c r="G46" s="26"/>
      <c r="N46" s="57"/>
    </row>
    <row r="47" spans="2:16" x14ac:dyDescent="0.2">
      <c r="B47" s="14"/>
      <c r="C47" s="111" t="s">
        <v>19</v>
      </c>
      <c r="D47" s="11"/>
      <c r="E47" s="11"/>
      <c r="F47" s="102">
        <v>34296.76</v>
      </c>
      <c r="G47" s="26"/>
      <c r="I47" s="36"/>
      <c r="N47" s="57"/>
    </row>
    <row r="48" spans="2:16" s="148" customFormat="1" x14ac:dyDescent="0.2">
      <c r="B48" s="151"/>
      <c r="C48" s="147" t="s">
        <v>95</v>
      </c>
      <c r="D48" s="150"/>
      <c r="E48" s="150"/>
      <c r="F48" s="102">
        <v>48700</v>
      </c>
      <c r="G48" s="152"/>
      <c r="I48" s="153"/>
      <c r="N48" s="57"/>
      <c r="P48" s="149"/>
    </row>
    <row r="49" spans="2:16" s="148" customFormat="1" x14ac:dyDescent="0.2">
      <c r="B49" s="156"/>
      <c r="C49" s="147" t="s">
        <v>101</v>
      </c>
      <c r="D49" s="155"/>
      <c r="E49" s="155"/>
      <c r="F49" s="102">
        <v>4500</v>
      </c>
      <c r="G49" s="152"/>
      <c r="I49" s="153"/>
      <c r="N49" s="57"/>
      <c r="P49" s="149"/>
    </row>
    <row r="50" spans="2:16" ht="15" x14ac:dyDescent="0.25">
      <c r="B50" s="14"/>
      <c r="C50" s="30" t="s">
        <v>75</v>
      </c>
      <c r="D50" s="11"/>
      <c r="E50" s="11"/>
      <c r="F50" s="103">
        <f>F51-SUM(F43:F49)</f>
        <v>101928.73999999999</v>
      </c>
      <c r="G50" s="26"/>
      <c r="I50" s="83"/>
      <c r="N50" s="57"/>
    </row>
    <row r="51" spans="2:16" ht="15" x14ac:dyDescent="0.25">
      <c r="B51" s="14"/>
      <c r="C51" s="39" t="s">
        <v>76</v>
      </c>
      <c r="D51" s="11"/>
      <c r="E51" s="11"/>
      <c r="F51" s="125">
        <v>427503.42</v>
      </c>
      <c r="G51" s="104"/>
      <c r="H51" s="11"/>
      <c r="I51" s="83"/>
      <c r="N51" s="57"/>
    </row>
    <row r="52" spans="2:16" ht="15" x14ac:dyDescent="0.25">
      <c r="B52" s="14"/>
      <c r="C52" s="30"/>
      <c r="D52" s="11"/>
      <c r="E52" s="11"/>
      <c r="F52" s="11"/>
      <c r="G52" s="112"/>
      <c r="I52" s="84"/>
    </row>
    <row r="53" spans="2:16" ht="15" x14ac:dyDescent="0.25">
      <c r="B53" s="107" t="s">
        <v>87</v>
      </c>
      <c r="E53" s="11"/>
      <c r="F53" s="115" t="s">
        <v>80</v>
      </c>
      <c r="G53" s="118">
        <v>21589.29</v>
      </c>
    </row>
    <row r="54" spans="2:16" ht="15" x14ac:dyDescent="0.25">
      <c r="B54" s="107"/>
      <c r="E54" s="11"/>
      <c r="F54" s="11"/>
      <c r="G54" s="45"/>
    </row>
    <row r="55" spans="2:16" ht="15" x14ac:dyDescent="0.25">
      <c r="B55" s="107" t="s">
        <v>86</v>
      </c>
      <c r="E55" s="111"/>
      <c r="F55" s="115" t="s">
        <v>80</v>
      </c>
      <c r="G55" s="118">
        <v>7506.55</v>
      </c>
    </row>
    <row r="56" spans="2:16" ht="15" x14ac:dyDescent="0.25">
      <c r="B56" s="107"/>
      <c r="E56" s="111"/>
      <c r="F56" s="111"/>
      <c r="G56" s="118"/>
    </row>
    <row r="57" spans="2:16" ht="15" x14ac:dyDescent="0.25">
      <c r="B57" s="107" t="s">
        <v>88</v>
      </c>
      <c r="E57" s="11"/>
      <c r="F57" s="115" t="s">
        <v>89</v>
      </c>
      <c r="G57" s="118">
        <f>E18</f>
        <v>101.36999999999534</v>
      </c>
    </row>
    <row r="58" spans="2:16" ht="13.5" thickBot="1" x14ac:dyDescent="0.25">
      <c r="B58" s="154" t="s">
        <v>98</v>
      </c>
      <c r="C58" s="25"/>
      <c r="D58" s="25"/>
      <c r="E58" s="25"/>
      <c r="F58" s="25"/>
      <c r="G58" s="116"/>
    </row>
    <row r="59" spans="2:16" ht="18.75" thickBot="1" x14ac:dyDescent="0.3">
      <c r="B59" s="33"/>
      <c r="C59" s="7"/>
      <c r="D59" s="11"/>
      <c r="E59" s="11"/>
      <c r="F59" s="11"/>
      <c r="G59" s="11"/>
      <c r="H59" s="36"/>
    </row>
    <row r="60" spans="2:16" ht="15.75" x14ac:dyDescent="0.25">
      <c r="B60" s="183" t="s">
        <v>74</v>
      </c>
      <c r="C60" s="184"/>
      <c r="D60" s="8"/>
      <c r="E60" s="8"/>
      <c r="F60" s="8"/>
      <c r="G60" s="9"/>
    </row>
    <row r="61" spans="2:16" x14ac:dyDescent="0.2">
      <c r="B61" s="14"/>
      <c r="C61" s="108" t="s">
        <v>39</v>
      </c>
      <c r="D61" s="11"/>
      <c r="E61" s="11"/>
      <c r="F61" s="7">
        <v>9263.4699999999993</v>
      </c>
      <c r="G61" s="26"/>
    </row>
    <row r="62" spans="2:16" x14ac:dyDescent="0.2">
      <c r="B62" s="14"/>
      <c r="C62" s="109" t="s">
        <v>40</v>
      </c>
      <c r="D62" s="11"/>
      <c r="E62" s="11"/>
      <c r="F62" s="2">
        <v>441931.58</v>
      </c>
      <c r="G62" s="26"/>
    </row>
    <row r="63" spans="2:16" ht="13.5" thickBot="1" x14ac:dyDescent="0.25">
      <c r="B63" s="113"/>
      <c r="C63" s="110" t="s">
        <v>8</v>
      </c>
      <c r="D63" s="17"/>
      <c r="E63" s="17"/>
      <c r="F63" s="17"/>
      <c r="G63" s="46">
        <f>SUM(F61:F62)</f>
        <v>451195.05</v>
      </c>
    </row>
    <row r="69" spans="7:7" ht="15" x14ac:dyDescent="0.25">
      <c r="G69" s="83"/>
    </row>
  </sheetData>
  <mergeCells count="8">
    <mergeCell ref="B60:C60"/>
    <mergeCell ref="B8:G8"/>
    <mergeCell ref="H8:I8"/>
    <mergeCell ref="E23:F23"/>
    <mergeCell ref="G23:H23"/>
    <mergeCell ref="C23:D23"/>
    <mergeCell ref="G22:H22"/>
    <mergeCell ref="B22:F22"/>
  </mergeCells>
  <pageMargins left="0.25" right="0.25" top="0.75" bottom="0.75" header="0.3" footer="0.3"/>
  <pageSetup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A3" sqref="A3"/>
    </sheetView>
  </sheetViews>
  <sheetFormatPr defaultRowHeight="12.75" x14ac:dyDescent="0.2"/>
  <cols>
    <col min="1" max="1" width="14.85546875" customWidth="1"/>
    <col min="2" max="2" width="9.28515625" customWidth="1"/>
    <col min="3" max="3" width="10" customWidth="1"/>
  </cols>
  <sheetData>
    <row r="2" spans="1:5" ht="15" x14ac:dyDescent="0.25">
      <c r="A2" s="195" t="s">
        <v>110</v>
      </c>
      <c r="B2" s="196"/>
      <c r="C2" s="196"/>
      <c r="D2" s="197"/>
    </row>
    <row r="3" spans="1:5" x14ac:dyDescent="0.2">
      <c r="A3" s="128"/>
      <c r="B3" s="109" t="s">
        <v>1</v>
      </c>
      <c r="C3" s="109" t="s">
        <v>79</v>
      </c>
      <c r="D3" s="133" t="s">
        <v>2</v>
      </c>
    </row>
    <row r="4" spans="1:5" x14ac:dyDescent="0.2">
      <c r="A4" s="131" t="s">
        <v>91</v>
      </c>
      <c r="B4" s="7">
        <f>'Sheet 1'!E13</f>
        <v>863879.06</v>
      </c>
      <c r="C4" s="7">
        <f>'Sheet 1'!F13</f>
        <v>897035.49</v>
      </c>
      <c r="D4" s="88">
        <f>B4-C4</f>
        <v>-33156.429999999935</v>
      </c>
    </row>
    <row r="5" spans="1:5" x14ac:dyDescent="0.2">
      <c r="A5" s="129" t="s">
        <v>34</v>
      </c>
      <c r="B5" s="63">
        <f>'Sheet 1'!E14</f>
        <v>45735.32</v>
      </c>
      <c r="C5" s="63">
        <f>'Sheet 1'!F14</f>
        <v>49352.76</v>
      </c>
      <c r="D5" s="64">
        <f>B5-C5</f>
        <v>-3617.4400000000023</v>
      </c>
    </row>
    <row r="6" spans="1:5" x14ac:dyDescent="0.2">
      <c r="A6" s="130" t="s">
        <v>35</v>
      </c>
      <c r="B6" s="7">
        <f>SUM(B4:B5)</f>
        <v>909614.38</v>
      </c>
      <c r="C6" s="7">
        <f>C4+C5</f>
        <v>946388.25</v>
      </c>
      <c r="D6" s="67">
        <f>B6-C6</f>
        <v>-36773.869999999995</v>
      </c>
    </row>
    <row r="7" spans="1:5" x14ac:dyDescent="0.2">
      <c r="A7" s="132" t="s">
        <v>21</v>
      </c>
      <c r="B7" s="2">
        <f>'Sheet 1'!E16</f>
        <v>909513.01</v>
      </c>
      <c r="C7" s="2">
        <f>'Sheet 1'!F16</f>
        <v>925666.08</v>
      </c>
      <c r="D7" s="5">
        <f>B7-C7</f>
        <v>-16153.069999999949</v>
      </c>
    </row>
    <row r="8" spans="1:5" x14ac:dyDescent="0.2">
      <c r="A8" s="132" t="s">
        <v>4</v>
      </c>
      <c r="B8" s="134">
        <f t="shared" ref="B8:D8" si="0">B6-B7</f>
        <v>101.36999999999534</v>
      </c>
      <c r="C8" s="2">
        <f t="shared" si="0"/>
        <v>20722.170000000042</v>
      </c>
      <c r="D8" s="5">
        <f t="shared" si="0"/>
        <v>-20620.800000000047</v>
      </c>
      <c r="E8" s="36"/>
    </row>
    <row r="9" spans="1:5" x14ac:dyDescent="0.2">
      <c r="A9" s="137"/>
      <c r="B9" s="138"/>
      <c r="C9" s="7"/>
      <c r="D9" s="7"/>
    </row>
    <row r="10" spans="1:5" x14ac:dyDescent="0.2">
      <c r="A10" s="139"/>
      <c r="B10" s="141"/>
      <c r="C10" s="141"/>
    </row>
    <row r="11" spans="1:5" x14ac:dyDescent="0.2">
      <c r="A11" s="136"/>
      <c r="B11" s="140"/>
      <c r="C11" s="135"/>
    </row>
    <row r="12" spans="1:5" x14ac:dyDescent="0.2">
      <c r="A12" s="136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7.14</vt:lpstr>
      <vt:lpstr>8.14</vt:lpstr>
      <vt:lpstr>Graph</vt:lpstr>
      <vt:lpstr>Sheet 1</vt:lpstr>
      <vt:lpstr>Box Score</vt:lpstr>
      <vt:lpstr>'7.14'!Print_Area</vt:lpstr>
      <vt:lpstr>'8.14'!Print_Area</vt:lpstr>
      <vt:lpstr>Graph!Print_Area</vt:lpstr>
      <vt:lpstr>'Sheet 1'!Print_Area</vt:lpstr>
    </vt:vector>
  </TitlesOfParts>
  <Company>Roseville Lutheran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pemerson</dc:creator>
  <cp:lastModifiedBy>Laurel Hofeldt</cp:lastModifiedBy>
  <cp:lastPrinted>2017-01-17T19:26:21Z</cp:lastPrinted>
  <dcterms:created xsi:type="dcterms:W3CDTF">2005-12-13T04:03:45Z</dcterms:created>
  <dcterms:modified xsi:type="dcterms:W3CDTF">2017-02-15T22:59:40Z</dcterms:modified>
</cp:coreProperties>
</file>